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xr:revisionPtr revIDLastSave="0" documentId="8_{E16EC529-7E08-2C41-981A-43195F07D635}" xr6:coauthVersionLast="47" xr6:coauthVersionMax="47" xr10:uidLastSave="{00000000-0000-0000-0000-000000000000}"/>
  <bookViews>
    <workbookView xWindow="-120" yWindow="-120" windowWidth="20730" windowHeight="11160" activeTab="2" xr2:uid="{00000000-000D-0000-FFFF-FFFF00000000}"/>
  </bookViews>
  <sheets>
    <sheet name="DATA" sheetId="1" r:id="rId1"/>
    <sheet name="PAGAR" sheetId="2" r:id="rId2"/>
    <sheet name="NEW REGIME" sheetId="3" r:id="rId3"/>
    <sheet name="OLD REGIME" sheetId="4" r:id="rId4"/>
    <sheet name="મેન્યુઅલી NEW" sheetId="5" r:id="rId5"/>
    <sheet name="મેન્યુઅલી OLD " sheetId="6" r:id="rId6"/>
  </sheets>
  <externalReferences>
    <externalReference r:id="rId7"/>
  </externalReferences>
  <definedNames>
    <definedName name="_xlnm.Print_Area" localSheetId="4">'મેન્યુઅલી NEW'!$A$28:$Q$140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2" i="3" l="1"/>
  <c r="B61" i="3"/>
  <c r="B60" i="3"/>
  <c r="B59" i="3"/>
  <c r="S21" i="1"/>
  <c r="C110" i="5"/>
  <c r="C111" i="5"/>
  <c r="C112" i="5"/>
  <c r="C113" i="5"/>
  <c r="C114" i="5"/>
  <c r="C115" i="5"/>
  <c r="C116" i="5"/>
  <c r="C117" i="5"/>
  <c r="A111" i="5"/>
  <c r="A112" i="5"/>
  <c r="A113" i="5"/>
  <c r="A114" i="5"/>
  <c r="A115" i="5"/>
  <c r="A116" i="5"/>
  <c r="A117" i="5"/>
  <c r="C90" i="3"/>
  <c r="C91" i="3"/>
  <c r="A90" i="3"/>
  <c r="A91" i="3"/>
  <c r="C84" i="3"/>
  <c r="C85" i="3"/>
  <c r="C86" i="3"/>
  <c r="C87" i="3"/>
  <c r="C88" i="3"/>
  <c r="C89" i="3"/>
  <c r="A85" i="3"/>
  <c r="A86" i="3"/>
  <c r="A87" i="3"/>
  <c r="A88" i="3"/>
  <c r="A89" i="3"/>
  <c r="K50" i="3"/>
  <c r="A112" i="3"/>
  <c r="G6" i="2"/>
  <c r="G7" i="2"/>
  <c r="G8" i="2"/>
  <c r="G9" i="2"/>
  <c r="G10" i="2"/>
  <c r="G11" i="2"/>
  <c r="G12" i="2"/>
  <c r="G13" i="2"/>
  <c r="G14" i="2"/>
  <c r="G15" i="2"/>
  <c r="G16" i="2"/>
  <c r="G5" i="2"/>
  <c r="K18" i="4"/>
  <c r="C139" i="6"/>
  <c r="C138" i="6"/>
  <c r="L136" i="6"/>
  <c r="G136" i="6"/>
  <c r="E136" i="6"/>
  <c r="D136" i="6"/>
  <c r="C136" i="6"/>
  <c r="F132" i="6"/>
  <c r="F130" i="6"/>
  <c r="F129" i="6"/>
  <c r="F128" i="6"/>
  <c r="F127" i="6"/>
  <c r="F126" i="6"/>
  <c r="F125" i="6"/>
  <c r="F124" i="6"/>
  <c r="F123" i="6"/>
  <c r="F122" i="6"/>
  <c r="F121" i="6"/>
  <c r="F120" i="6"/>
  <c r="E120" i="6"/>
  <c r="E121" i="6"/>
  <c r="E122" i="6"/>
  <c r="E123" i="6"/>
  <c r="E124" i="6"/>
  <c r="E125" i="6"/>
  <c r="E126" i="6"/>
  <c r="E127" i="6"/>
  <c r="E128" i="6"/>
  <c r="E129" i="6"/>
  <c r="E130" i="6"/>
  <c r="E131" i="6"/>
  <c r="E132" i="6"/>
  <c r="N117" i="6"/>
  <c r="D117" i="6"/>
  <c r="C116" i="6"/>
  <c r="A116" i="6"/>
  <c r="C115" i="6"/>
  <c r="A115" i="6"/>
  <c r="C114" i="6"/>
  <c r="A114" i="6"/>
  <c r="C113" i="6"/>
  <c r="A113" i="6"/>
  <c r="C112" i="6"/>
  <c r="A112" i="6"/>
  <c r="C111" i="6"/>
  <c r="A111" i="6"/>
  <c r="C110" i="6"/>
  <c r="A110" i="6"/>
  <c r="C109" i="6"/>
  <c r="A109" i="6"/>
  <c r="C108" i="6"/>
  <c r="A108" i="6"/>
  <c r="P96" i="6"/>
  <c r="L96" i="6"/>
  <c r="J96" i="6"/>
  <c r="F96" i="6"/>
  <c r="F97" i="6"/>
  <c r="F98" i="6"/>
  <c r="F99" i="6"/>
  <c r="F100" i="6"/>
  <c r="F101" i="6"/>
  <c r="F102" i="6"/>
  <c r="F103" i="6"/>
  <c r="F104" i="6"/>
  <c r="F105" i="6"/>
  <c r="F106" i="6"/>
  <c r="F107" i="6"/>
  <c r="E96" i="6"/>
  <c r="E97" i="6"/>
  <c r="E98" i="6"/>
  <c r="E99" i="6"/>
  <c r="E100" i="6"/>
  <c r="E101" i="6"/>
  <c r="B92" i="6"/>
  <c r="B91" i="6"/>
  <c r="M72" i="6"/>
  <c r="O72" i="6"/>
  <c r="M65" i="6"/>
  <c r="O65" i="6"/>
  <c r="O48" i="6"/>
  <c r="L35" i="6"/>
  <c r="F33" i="6"/>
  <c r="K32" i="6"/>
  <c r="F32" i="6"/>
  <c r="O29" i="6"/>
  <c r="O18" i="6"/>
  <c r="F7" i="6"/>
  <c r="F8" i="6"/>
  <c r="F9" i="6"/>
  <c r="F10" i="6"/>
  <c r="F11" i="6"/>
  <c r="F12" i="6"/>
  <c r="F13" i="6"/>
  <c r="F14" i="6"/>
  <c r="F15" i="6"/>
  <c r="F16" i="6"/>
  <c r="F17" i="6"/>
  <c r="G11" i="6"/>
  <c r="G12" i="6"/>
  <c r="G13" i="6"/>
  <c r="G14" i="6"/>
  <c r="G15" i="6"/>
  <c r="G16" i="6"/>
  <c r="G17" i="6"/>
  <c r="M7" i="6"/>
  <c r="M8" i="6"/>
  <c r="M9" i="6"/>
  <c r="Q7" i="6"/>
  <c r="N7" i="6"/>
  <c r="J97" i="6"/>
  <c r="L98" i="6"/>
  <c r="L7" i="6"/>
  <c r="L8" i="6"/>
  <c r="I7" i="6"/>
  <c r="H7" i="6"/>
  <c r="D7" i="6"/>
  <c r="C7" i="6"/>
  <c r="C8" i="6"/>
  <c r="C9" i="6"/>
  <c r="C10" i="6"/>
  <c r="C11" i="6"/>
  <c r="C12" i="6"/>
  <c r="C13" i="6"/>
  <c r="C14" i="6"/>
  <c r="C15" i="6"/>
  <c r="C16" i="6"/>
  <c r="C17" i="6"/>
  <c r="C18" i="6"/>
  <c r="B7" i="6"/>
  <c r="B8" i="6"/>
  <c r="B9" i="6"/>
  <c r="S6" i="6"/>
  <c r="J6" i="6"/>
  <c r="E6" i="6"/>
  <c r="K6" i="6"/>
  <c r="C140" i="5"/>
  <c r="C139" i="5"/>
  <c r="L137" i="5"/>
  <c r="G137" i="5"/>
  <c r="E137" i="5"/>
  <c r="D137" i="5"/>
  <c r="C137" i="5"/>
  <c r="F133" i="5"/>
  <c r="F131" i="5"/>
  <c r="F130" i="5"/>
  <c r="F129" i="5"/>
  <c r="F128" i="5"/>
  <c r="F127" i="5"/>
  <c r="F126" i="5"/>
  <c r="F125" i="5"/>
  <c r="F124" i="5"/>
  <c r="F123" i="5"/>
  <c r="F122" i="5"/>
  <c r="F121" i="5"/>
  <c r="E121" i="5"/>
  <c r="E122" i="5"/>
  <c r="E123" i="5"/>
  <c r="E124" i="5"/>
  <c r="E125" i="5"/>
  <c r="E126" i="5"/>
  <c r="E127" i="5"/>
  <c r="E128" i="5"/>
  <c r="E129" i="5"/>
  <c r="E130" i="5"/>
  <c r="E131" i="5"/>
  <c r="E132" i="5"/>
  <c r="E133" i="5"/>
  <c r="N118" i="5"/>
  <c r="D118" i="5"/>
  <c r="A110" i="5"/>
  <c r="C109" i="5"/>
  <c r="A109" i="5"/>
  <c r="P97" i="5"/>
  <c r="L97" i="5"/>
  <c r="J97" i="5"/>
  <c r="F97" i="5"/>
  <c r="F98" i="5"/>
  <c r="F99" i="5"/>
  <c r="F100" i="5"/>
  <c r="F101" i="5"/>
  <c r="F102" i="5"/>
  <c r="F103" i="5"/>
  <c r="F104" i="5"/>
  <c r="F105" i="5"/>
  <c r="F106" i="5"/>
  <c r="F107" i="5"/>
  <c r="F108" i="5"/>
  <c r="E97" i="5"/>
  <c r="E98" i="5"/>
  <c r="E99" i="5"/>
  <c r="E100" i="5"/>
  <c r="E101" i="5"/>
  <c r="E102" i="5"/>
  <c r="E103" i="5"/>
  <c r="E104" i="5"/>
  <c r="E105" i="5"/>
  <c r="E106" i="5"/>
  <c r="E107" i="5"/>
  <c r="E108" i="5"/>
  <c r="B93" i="5"/>
  <c r="B92" i="5"/>
  <c r="M71" i="5"/>
  <c r="O71" i="5"/>
  <c r="M64" i="5"/>
  <c r="O64" i="5"/>
  <c r="O47" i="5"/>
  <c r="K31" i="5"/>
  <c r="F31" i="5"/>
  <c r="O28" i="5"/>
  <c r="O18" i="5"/>
  <c r="G11" i="5"/>
  <c r="Q7" i="5"/>
  <c r="P98" i="5"/>
  <c r="N7" i="5"/>
  <c r="J98" i="5"/>
  <c r="M7" i="5"/>
  <c r="L7" i="5"/>
  <c r="L8" i="5"/>
  <c r="L9" i="5"/>
  <c r="L10" i="5"/>
  <c r="I7" i="5"/>
  <c r="I8" i="5"/>
  <c r="I9" i="5"/>
  <c r="I10" i="5"/>
  <c r="I11" i="5"/>
  <c r="I12" i="5"/>
  <c r="I13" i="5"/>
  <c r="I14" i="5"/>
  <c r="I15" i="5"/>
  <c r="I16" i="5"/>
  <c r="I17" i="5"/>
  <c r="H7" i="5"/>
  <c r="H8" i="5"/>
  <c r="F7" i="5"/>
  <c r="D7" i="5"/>
  <c r="C7" i="5"/>
  <c r="C8" i="5"/>
  <c r="C9" i="5"/>
  <c r="C10" i="5"/>
  <c r="C11" i="5"/>
  <c r="C12" i="5"/>
  <c r="C13" i="5"/>
  <c r="C14" i="5"/>
  <c r="C15" i="5"/>
  <c r="C16" i="5"/>
  <c r="C17" i="5"/>
  <c r="C18" i="5"/>
  <c r="B7" i="5"/>
  <c r="B8" i="5"/>
  <c r="B9" i="5"/>
  <c r="S6" i="5"/>
  <c r="J6" i="5"/>
  <c r="E6" i="5"/>
  <c r="C112" i="4"/>
  <c r="A110" i="4"/>
  <c r="J109" i="4"/>
  <c r="G109" i="4"/>
  <c r="E109" i="4"/>
  <c r="D109" i="4"/>
  <c r="C109" i="4"/>
  <c r="F105" i="4"/>
  <c r="F104" i="4"/>
  <c r="F103" i="4"/>
  <c r="F102" i="4"/>
  <c r="F101" i="4"/>
  <c r="F100" i="4"/>
  <c r="F99" i="4"/>
  <c r="F98" i="4"/>
  <c r="F97" i="4"/>
  <c r="F96" i="4"/>
  <c r="F95" i="4"/>
  <c r="F94" i="4"/>
  <c r="F93" i="4"/>
  <c r="E93" i="4"/>
  <c r="E94" i="4"/>
  <c r="E95" i="4"/>
  <c r="E96" i="4"/>
  <c r="E97" i="4"/>
  <c r="E98" i="4"/>
  <c r="E99" i="4"/>
  <c r="E100" i="4"/>
  <c r="E101" i="4"/>
  <c r="E102" i="4"/>
  <c r="E103" i="4"/>
  <c r="E104" i="4"/>
  <c r="E105" i="4"/>
  <c r="A91" i="4"/>
  <c r="L50" i="1"/>
  <c r="L51" i="1"/>
  <c r="L52" i="1"/>
  <c r="D90" i="4"/>
  <c r="C89" i="4"/>
  <c r="A89" i="4"/>
  <c r="C88" i="4"/>
  <c r="A88" i="4"/>
  <c r="C87" i="4"/>
  <c r="A87" i="4"/>
  <c r="C86" i="4"/>
  <c r="A86" i="4"/>
  <c r="C85" i="4"/>
  <c r="A85" i="4"/>
  <c r="C84" i="4"/>
  <c r="A84" i="4"/>
  <c r="C83" i="4"/>
  <c r="A83" i="4"/>
  <c r="C82" i="4"/>
  <c r="A82" i="4"/>
  <c r="C81" i="4"/>
  <c r="A81" i="4"/>
  <c r="J69" i="4"/>
  <c r="C65" i="4"/>
  <c r="C64" i="4"/>
  <c r="K55" i="4"/>
  <c r="M55" i="4"/>
  <c r="K43" i="4"/>
  <c r="K42" i="4"/>
  <c r="K41" i="4"/>
  <c r="K40" i="4"/>
  <c r="K39" i="4"/>
  <c r="K38" i="4"/>
  <c r="K36" i="4"/>
  <c r="K35" i="4"/>
  <c r="K34" i="4"/>
  <c r="K33" i="4"/>
  <c r="K32" i="4"/>
  <c r="K31" i="4"/>
  <c r="K30" i="4"/>
  <c r="K29" i="4"/>
  <c r="K28" i="4"/>
  <c r="K27" i="4"/>
  <c r="K26" i="4"/>
  <c r="J12" i="4"/>
  <c r="F11" i="4"/>
  <c r="F10" i="4"/>
  <c r="K9" i="4"/>
  <c r="D9" i="4"/>
  <c r="J8" i="4"/>
  <c r="J7" i="4"/>
  <c r="F5" i="4"/>
  <c r="H4" i="4"/>
  <c r="F4" i="4"/>
  <c r="K3" i="4"/>
  <c r="H3" i="4"/>
  <c r="F3" i="4"/>
  <c r="L2" i="4"/>
  <c r="C2" i="4"/>
  <c r="M1" i="4"/>
  <c r="F1" i="4"/>
  <c r="C1" i="4"/>
  <c r="C114" i="3"/>
  <c r="J111" i="3"/>
  <c r="G111" i="3"/>
  <c r="E111" i="3"/>
  <c r="D111" i="3"/>
  <c r="C111" i="3"/>
  <c r="F107" i="3"/>
  <c r="E95" i="3"/>
  <c r="E96" i="3"/>
  <c r="E97" i="3"/>
  <c r="E98" i="3"/>
  <c r="E99" i="3"/>
  <c r="E100" i="3"/>
  <c r="E101" i="3"/>
  <c r="E102" i="3"/>
  <c r="E103" i="3"/>
  <c r="E104" i="3"/>
  <c r="E105" i="3"/>
  <c r="E106" i="3"/>
  <c r="E107" i="3"/>
  <c r="A93" i="3"/>
  <c r="D92" i="3"/>
  <c r="A84" i="3"/>
  <c r="C83" i="3"/>
  <c r="A83" i="3"/>
  <c r="J71" i="3"/>
  <c r="C67" i="3"/>
  <c r="C66" i="3"/>
  <c r="K57" i="3"/>
  <c r="M57" i="3"/>
  <c r="K43" i="3"/>
  <c r="M43" i="3"/>
  <c r="K36" i="3"/>
  <c r="M36" i="3"/>
  <c r="C23" i="3"/>
  <c r="J12" i="3"/>
  <c r="F11" i="3"/>
  <c r="F10" i="3"/>
  <c r="K9" i="3"/>
  <c r="D9" i="3"/>
  <c r="J8" i="3"/>
  <c r="J7" i="3"/>
  <c r="F5" i="3"/>
  <c r="H4" i="3"/>
  <c r="F4" i="3"/>
  <c r="K3" i="3"/>
  <c r="H3" i="3"/>
  <c r="F3" i="3"/>
  <c r="L2" i="3"/>
  <c r="C2" i="3"/>
  <c r="M1" i="3"/>
  <c r="F1" i="3"/>
  <c r="C1" i="3"/>
  <c r="S5" i="2"/>
  <c r="S6" i="2"/>
  <c r="S7" i="2"/>
  <c r="L5" i="2"/>
  <c r="L6" i="2"/>
  <c r="L7" i="2"/>
  <c r="L8" i="2"/>
  <c r="L9" i="2"/>
  <c r="L10" i="2"/>
  <c r="L11" i="2"/>
  <c r="L12" i="2"/>
  <c r="L13" i="2"/>
  <c r="L14" i="2"/>
  <c r="L15" i="2"/>
  <c r="L16" i="2"/>
  <c r="K5" i="2"/>
  <c r="K6" i="2"/>
  <c r="K7" i="2"/>
  <c r="K8" i="2"/>
  <c r="K9" i="2"/>
  <c r="K10" i="2"/>
  <c r="K11" i="2"/>
  <c r="K12" i="2"/>
  <c r="K13" i="2"/>
  <c r="K14" i="2"/>
  <c r="K15" i="2"/>
  <c r="K16" i="2"/>
  <c r="I5" i="2"/>
  <c r="I6" i="2"/>
  <c r="I7" i="2"/>
  <c r="I8" i="2"/>
  <c r="I9" i="2"/>
  <c r="I10" i="2"/>
  <c r="I11" i="2"/>
  <c r="I12" i="2"/>
  <c r="I13" i="2"/>
  <c r="I14" i="2"/>
  <c r="I15" i="2"/>
  <c r="I16" i="2"/>
  <c r="H5" i="2"/>
  <c r="G17" i="2"/>
  <c r="D50" i="1"/>
  <c r="B5" i="2"/>
  <c r="A1" i="2"/>
  <c r="I61" i="1"/>
  <c r="I60" i="1"/>
  <c r="I59" i="1"/>
  <c r="I58" i="1"/>
  <c r="I57" i="1"/>
  <c r="I56" i="1"/>
  <c r="I55" i="1"/>
  <c r="I54" i="1"/>
  <c r="I53" i="1"/>
  <c r="I52" i="1"/>
  <c r="I51" i="1"/>
  <c r="T50" i="1"/>
  <c r="D54" i="1"/>
  <c r="P50" i="1"/>
  <c r="N50" i="1"/>
  <c r="N51" i="1"/>
  <c r="N52" i="1"/>
  <c r="N53" i="1"/>
  <c r="N54" i="1"/>
  <c r="N55" i="1"/>
  <c r="N56" i="1"/>
  <c r="N57" i="1"/>
  <c r="N58" i="1"/>
  <c r="N59" i="1"/>
  <c r="N60" i="1"/>
  <c r="N61" i="1"/>
  <c r="M50" i="1"/>
  <c r="I50" i="1"/>
  <c r="F50" i="1"/>
  <c r="Y50" i="1"/>
  <c r="E50" i="1"/>
  <c r="C5" i="2"/>
  <c r="D51" i="1"/>
  <c r="B37" i="1"/>
  <c r="X31" i="1"/>
  <c r="B36" i="1"/>
  <c r="Q30" i="1"/>
  <c r="B35" i="1"/>
  <c r="Q29" i="1"/>
  <c r="B34" i="1"/>
  <c r="X28" i="1"/>
  <c r="B33" i="1"/>
  <c r="X27" i="1"/>
  <c r="B32" i="1"/>
  <c r="A75" i="4"/>
  <c r="B31" i="1"/>
  <c r="A10" i="2"/>
  <c r="B30" i="1"/>
  <c r="A73" i="4"/>
  <c r="B29" i="1"/>
  <c r="A8" i="2"/>
  <c r="Q28" i="1"/>
  <c r="B28" i="1"/>
  <c r="Q22" i="1"/>
  <c r="E27" i="1"/>
  <c r="B27" i="1"/>
  <c r="B26" i="1"/>
  <c r="X20" i="1"/>
  <c r="Q25" i="1"/>
  <c r="S22" i="1"/>
  <c r="P52" i="1"/>
  <c r="Q21" i="1"/>
  <c r="O13" i="1"/>
  <c r="N30" i="6"/>
  <c r="E13" i="1"/>
  <c r="A9" i="2"/>
  <c r="AD50" i="1"/>
  <c r="Q23" i="1"/>
  <c r="Q26" i="1"/>
  <c r="G50" i="1"/>
  <c r="U50" i="1"/>
  <c r="O50" i="1"/>
  <c r="Q50" i="1"/>
  <c r="X23" i="1"/>
  <c r="X26" i="1"/>
  <c r="X30" i="1"/>
  <c r="N8" i="5"/>
  <c r="N9" i="5"/>
  <c r="K6" i="5"/>
  <c r="C97" i="5"/>
  <c r="W10" i="6"/>
  <c r="B10" i="6"/>
  <c r="B11" i="6"/>
  <c r="B12" i="6"/>
  <c r="B13" i="6"/>
  <c r="B14" i="6"/>
  <c r="B15" i="6"/>
  <c r="B16" i="6"/>
  <c r="B17" i="6"/>
  <c r="L97" i="6"/>
  <c r="B6" i="2"/>
  <c r="D52" i="1"/>
  <c r="B7" i="2"/>
  <c r="H9" i="5"/>
  <c r="H10" i="5"/>
  <c r="H11" i="5"/>
  <c r="H12" i="5"/>
  <c r="H13" i="5"/>
  <c r="H14" i="5"/>
  <c r="H15" i="5"/>
  <c r="H16" i="5"/>
  <c r="H17" i="5"/>
  <c r="A74" i="4"/>
  <c r="Q31" i="1"/>
  <c r="Q24" i="1"/>
  <c r="J50" i="1"/>
  <c r="E51" i="1"/>
  <c r="Q8" i="5"/>
  <c r="Q9" i="5"/>
  <c r="P100" i="5"/>
  <c r="X25" i="1"/>
  <c r="P51" i="1"/>
  <c r="X24" i="1"/>
  <c r="A74" i="3"/>
  <c r="F118" i="5"/>
  <c r="N8" i="6"/>
  <c r="B9" i="2"/>
  <c r="D55" i="1"/>
  <c r="L98" i="5"/>
  <c r="M8" i="5"/>
  <c r="C30" i="6"/>
  <c r="C29" i="5"/>
  <c r="A72" i="3"/>
  <c r="A6" i="2"/>
  <c r="A70" i="4"/>
  <c r="A7" i="2"/>
  <c r="A71" i="4"/>
  <c r="A73" i="3"/>
  <c r="X22" i="1"/>
  <c r="A16" i="2"/>
  <c r="A82" i="3"/>
  <c r="A80" i="4"/>
  <c r="F51" i="1"/>
  <c r="W50" i="1"/>
  <c r="X50" i="1"/>
  <c r="Z50" i="1"/>
  <c r="AA50" i="1"/>
  <c r="H6" i="2"/>
  <c r="H7" i="2"/>
  <c r="H8" i="2"/>
  <c r="H9" i="2"/>
  <c r="H10" i="2"/>
  <c r="H11" i="2"/>
  <c r="H12" i="2"/>
  <c r="H13" i="2"/>
  <c r="H14" i="2"/>
  <c r="H15" i="2"/>
  <c r="H16" i="2"/>
  <c r="M10" i="6"/>
  <c r="L99" i="6"/>
  <c r="E102" i="6"/>
  <c r="E103" i="6"/>
  <c r="E104" i="6"/>
  <c r="E105" i="6"/>
  <c r="E106" i="6"/>
  <c r="E107" i="6"/>
  <c r="L11" i="5"/>
  <c r="A5" i="2"/>
  <c r="A69" i="4"/>
  <c r="J70" i="4"/>
  <c r="J72" i="3"/>
  <c r="M51" i="1"/>
  <c r="E28" i="1"/>
  <c r="A80" i="3"/>
  <c r="A14" i="2"/>
  <c r="A78" i="4"/>
  <c r="T6" i="6"/>
  <c r="C96" i="6"/>
  <c r="J7" i="6"/>
  <c r="E7" i="6"/>
  <c r="D8" i="6"/>
  <c r="Q8" i="6"/>
  <c r="P97" i="6"/>
  <c r="N9" i="6"/>
  <c r="J98" i="6"/>
  <c r="N62" i="1"/>
  <c r="Q20" i="1"/>
  <c r="X21" i="1"/>
  <c r="S23" i="1"/>
  <c r="X29" i="1"/>
  <c r="A78" i="3"/>
  <c r="A76" i="4"/>
  <c r="A12" i="2"/>
  <c r="Q27" i="1"/>
  <c r="A71" i="3"/>
  <c r="A77" i="3"/>
  <c r="D8" i="5"/>
  <c r="I18" i="5"/>
  <c r="B18" i="6"/>
  <c r="A77" i="4"/>
  <c r="A79" i="3"/>
  <c r="A13" i="2"/>
  <c r="A79" i="4"/>
  <c r="A81" i="3"/>
  <c r="A15" i="2"/>
  <c r="A11" i="2"/>
  <c r="A75" i="3"/>
  <c r="A72" i="4"/>
  <c r="E7" i="5"/>
  <c r="J7" i="5"/>
  <c r="A76" i="3"/>
  <c r="W10" i="5"/>
  <c r="B10" i="5"/>
  <c r="E118" i="5"/>
  <c r="I8" i="6"/>
  <c r="I9" i="6"/>
  <c r="I10" i="6"/>
  <c r="I11" i="6"/>
  <c r="I12" i="6"/>
  <c r="I13" i="6"/>
  <c r="I14" i="6"/>
  <c r="I15" i="6"/>
  <c r="I16" i="6"/>
  <c r="I17" i="6"/>
  <c r="L9" i="6"/>
  <c r="G18" i="6"/>
  <c r="F117" i="6"/>
  <c r="K44" i="4"/>
  <c r="M44" i="4"/>
  <c r="G12" i="5"/>
  <c r="G13" i="5"/>
  <c r="G14" i="5"/>
  <c r="G15" i="5"/>
  <c r="G16" i="5"/>
  <c r="G17" i="5"/>
  <c r="S7" i="6"/>
  <c r="F18" i="6"/>
  <c r="I17" i="2"/>
  <c r="S7" i="5"/>
  <c r="F8" i="5"/>
  <c r="F9" i="5"/>
  <c r="F10" i="5"/>
  <c r="F11" i="5"/>
  <c r="F12" i="5"/>
  <c r="F13" i="5"/>
  <c r="F14" i="5"/>
  <c r="F15" i="5"/>
  <c r="F16" i="5"/>
  <c r="F17" i="5"/>
  <c r="H8" i="6"/>
  <c r="H9" i="6"/>
  <c r="H10" i="6"/>
  <c r="H11" i="6"/>
  <c r="H12" i="6"/>
  <c r="H13" i="6"/>
  <c r="H14" i="6"/>
  <c r="H15" i="6"/>
  <c r="H16" i="6"/>
  <c r="H17" i="6"/>
  <c r="I62" i="1"/>
  <c r="L71" i="4"/>
  <c r="S8" i="2"/>
  <c r="L73" i="3"/>
  <c r="L17" i="2"/>
  <c r="L72" i="3"/>
  <c r="L69" i="4"/>
  <c r="K17" i="2"/>
  <c r="L70" i="4"/>
  <c r="N29" i="5"/>
  <c r="L71" i="3"/>
  <c r="L53" i="1"/>
  <c r="J99" i="5"/>
  <c r="T6" i="5"/>
  <c r="D53" i="1"/>
  <c r="B8" i="2"/>
  <c r="P99" i="5"/>
  <c r="Q10" i="5"/>
  <c r="K7" i="6"/>
  <c r="T7" i="6"/>
  <c r="H18" i="5"/>
  <c r="K7" i="5"/>
  <c r="T7" i="5"/>
  <c r="G18" i="5"/>
  <c r="H17" i="2"/>
  <c r="C6" i="2"/>
  <c r="E52" i="1"/>
  <c r="C97" i="6"/>
  <c r="P98" i="6"/>
  <c r="Q9" i="6"/>
  <c r="S9" i="6"/>
  <c r="AE50" i="1"/>
  <c r="N5" i="2"/>
  <c r="AI50" i="1"/>
  <c r="R5" i="2"/>
  <c r="AB50" i="1"/>
  <c r="D5" i="2"/>
  <c r="AG50" i="1"/>
  <c r="P5" i="2"/>
  <c r="H50" i="1"/>
  <c r="AF50" i="1"/>
  <c r="O5" i="2"/>
  <c r="S8" i="6"/>
  <c r="I18" i="6"/>
  <c r="N10" i="5"/>
  <c r="J100" i="5"/>
  <c r="P53" i="1"/>
  <c r="S24" i="1"/>
  <c r="E117" i="6"/>
  <c r="L100" i="6"/>
  <c r="M11" i="6"/>
  <c r="G51" i="1"/>
  <c r="F52" i="1"/>
  <c r="W51" i="1"/>
  <c r="X51" i="1"/>
  <c r="Z51" i="1"/>
  <c r="J51" i="1"/>
  <c r="AD51" i="1"/>
  <c r="Y51" i="1"/>
  <c r="L10" i="6"/>
  <c r="B11" i="5"/>
  <c r="B12" i="5"/>
  <c r="B13" i="5"/>
  <c r="B14" i="5"/>
  <c r="B15" i="5"/>
  <c r="B16" i="5"/>
  <c r="B17" i="5"/>
  <c r="L12" i="5"/>
  <c r="B10" i="2"/>
  <c r="D56" i="1"/>
  <c r="E8" i="5"/>
  <c r="D9" i="5"/>
  <c r="J8" i="5"/>
  <c r="M9" i="5"/>
  <c r="S8" i="5"/>
  <c r="L99" i="5"/>
  <c r="AH50" i="1"/>
  <c r="Q5" i="2"/>
  <c r="F69" i="4"/>
  <c r="H18" i="6"/>
  <c r="F18" i="5"/>
  <c r="J99" i="6"/>
  <c r="N10" i="6"/>
  <c r="P101" i="5"/>
  <c r="Q11" i="5"/>
  <c r="J8" i="6"/>
  <c r="E8" i="6"/>
  <c r="D9" i="6"/>
  <c r="J71" i="4"/>
  <c r="J73" i="3"/>
  <c r="E29" i="1"/>
  <c r="M52" i="1"/>
  <c r="L72" i="4"/>
  <c r="S9" i="2"/>
  <c r="L74" i="3"/>
  <c r="L54" i="1"/>
  <c r="K8" i="5"/>
  <c r="T8" i="5"/>
  <c r="C98" i="5"/>
  <c r="K8" i="6"/>
  <c r="AA51" i="1"/>
  <c r="AE51" i="1"/>
  <c r="N6" i="2"/>
  <c r="C7" i="2"/>
  <c r="E53" i="1"/>
  <c r="F71" i="3"/>
  <c r="T5" i="2"/>
  <c r="C98" i="6"/>
  <c r="T8" i="6"/>
  <c r="J72" i="4"/>
  <c r="M53" i="1"/>
  <c r="E30" i="1"/>
  <c r="J74" i="3"/>
  <c r="N11" i="6"/>
  <c r="J100" i="6"/>
  <c r="B11" i="2"/>
  <c r="D57" i="1"/>
  <c r="L13" i="5"/>
  <c r="L11" i="6"/>
  <c r="U51" i="1"/>
  <c r="O51" i="1"/>
  <c r="Q51" i="1"/>
  <c r="J101" i="5"/>
  <c r="N11" i="5"/>
  <c r="F5" i="2"/>
  <c r="K50" i="1"/>
  <c r="N71" i="3"/>
  <c r="N69" i="4"/>
  <c r="AB51" i="1"/>
  <c r="AG51" i="1"/>
  <c r="P6" i="2"/>
  <c r="J9" i="5"/>
  <c r="E9" i="5"/>
  <c r="D10" i="5"/>
  <c r="L101" i="6"/>
  <c r="M12" i="6"/>
  <c r="S25" i="1"/>
  <c r="P54" i="1"/>
  <c r="H69" i="4"/>
  <c r="H71" i="3"/>
  <c r="E71" i="3"/>
  <c r="E69" i="4"/>
  <c r="AD52" i="1"/>
  <c r="Y52" i="1"/>
  <c r="G52" i="1"/>
  <c r="U52" i="1"/>
  <c r="O52" i="1"/>
  <c r="Q52" i="1"/>
  <c r="J52" i="1"/>
  <c r="F53" i="1"/>
  <c r="W52" i="1"/>
  <c r="X52" i="1"/>
  <c r="Z52" i="1"/>
  <c r="D10" i="6"/>
  <c r="J9" i="6"/>
  <c r="E9" i="6"/>
  <c r="K9" i="6"/>
  <c r="P102" i="5"/>
  <c r="Q12" i="5"/>
  <c r="L100" i="5"/>
  <c r="M10" i="5"/>
  <c r="S9" i="5"/>
  <c r="B18" i="5"/>
  <c r="J5" i="2"/>
  <c r="E5" i="2"/>
  <c r="P99" i="6"/>
  <c r="Q10" i="6"/>
  <c r="S10" i="6"/>
  <c r="L75" i="3"/>
  <c r="S10" i="2"/>
  <c r="L73" i="4"/>
  <c r="L55" i="1"/>
  <c r="C99" i="5"/>
  <c r="H51" i="1"/>
  <c r="F6" i="2"/>
  <c r="AI51" i="1"/>
  <c r="R6" i="2"/>
  <c r="N70" i="4"/>
  <c r="AF51" i="1"/>
  <c r="O6" i="2"/>
  <c r="D6" i="2"/>
  <c r="E6" i="2"/>
  <c r="E54" i="1"/>
  <c r="C8" i="2"/>
  <c r="D11" i="6"/>
  <c r="J10" i="6"/>
  <c r="E10" i="6"/>
  <c r="P55" i="1"/>
  <c r="S26" i="1"/>
  <c r="L14" i="5"/>
  <c r="T52" i="1"/>
  <c r="V54" i="1"/>
  <c r="F54" i="1"/>
  <c r="W53" i="1"/>
  <c r="X53" i="1"/>
  <c r="Z53" i="1"/>
  <c r="G53" i="1"/>
  <c r="J53" i="1"/>
  <c r="AD53" i="1"/>
  <c r="Y53" i="1"/>
  <c r="AA52" i="1"/>
  <c r="L102" i="6"/>
  <c r="M13" i="6"/>
  <c r="K9" i="5"/>
  <c r="K51" i="1"/>
  <c r="S51" i="1"/>
  <c r="L12" i="6"/>
  <c r="J73" i="4"/>
  <c r="J75" i="3"/>
  <c r="M54" i="1"/>
  <c r="E31" i="1"/>
  <c r="M5" i="2"/>
  <c r="Q13" i="5"/>
  <c r="P103" i="5"/>
  <c r="D11" i="5"/>
  <c r="J10" i="5"/>
  <c r="E10" i="5"/>
  <c r="H70" i="4"/>
  <c r="H72" i="3"/>
  <c r="E72" i="3"/>
  <c r="E70" i="4"/>
  <c r="N12" i="5"/>
  <c r="J102" i="5"/>
  <c r="B12" i="2"/>
  <c r="D58" i="1"/>
  <c r="J101" i="6"/>
  <c r="N12" i="6"/>
  <c r="P100" i="6"/>
  <c r="Q11" i="6"/>
  <c r="C99" i="6"/>
  <c r="T9" i="6"/>
  <c r="M11" i="5"/>
  <c r="L101" i="5"/>
  <c r="S10" i="5"/>
  <c r="AH51" i="1"/>
  <c r="Q6" i="2"/>
  <c r="S50" i="1"/>
  <c r="L74" i="4"/>
  <c r="S11" i="2"/>
  <c r="L76" i="3"/>
  <c r="L56" i="1"/>
  <c r="K10" i="5"/>
  <c r="T10" i="5"/>
  <c r="N72" i="3"/>
  <c r="J6" i="2"/>
  <c r="M6" i="2"/>
  <c r="C9" i="2"/>
  <c r="E55" i="1"/>
  <c r="F55" i="1"/>
  <c r="W54" i="1"/>
  <c r="X54" i="1"/>
  <c r="Z54" i="1"/>
  <c r="G54" i="1"/>
  <c r="U54" i="1"/>
  <c r="O54" i="1"/>
  <c r="Q54" i="1"/>
  <c r="J54" i="1"/>
  <c r="AD54" i="1"/>
  <c r="Y54" i="1"/>
  <c r="C100" i="5"/>
  <c r="T9" i="5"/>
  <c r="D7" i="2"/>
  <c r="AI52" i="1"/>
  <c r="R7" i="2"/>
  <c r="AB52" i="1"/>
  <c r="AG52" i="1"/>
  <c r="P7" i="2"/>
  <c r="H52" i="1"/>
  <c r="AF52" i="1"/>
  <c r="O7" i="2"/>
  <c r="AE52" i="1"/>
  <c r="N7" i="2"/>
  <c r="AH52" i="1"/>
  <c r="Q7" i="2"/>
  <c r="U53" i="1"/>
  <c r="O53" i="1"/>
  <c r="Q53" i="1"/>
  <c r="J102" i="6"/>
  <c r="N13" i="6"/>
  <c r="C101" i="5"/>
  <c r="P101" i="6"/>
  <c r="Q12" i="6"/>
  <c r="S12" i="6"/>
  <c r="T6" i="2"/>
  <c r="F72" i="3"/>
  <c r="F70" i="4"/>
  <c r="D59" i="1"/>
  <c r="B13" i="2"/>
  <c r="E32" i="1"/>
  <c r="J74" i="4"/>
  <c r="J76" i="3"/>
  <c r="M55" i="1"/>
  <c r="S11" i="6"/>
  <c r="AA53" i="1"/>
  <c r="K10" i="6"/>
  <c r="M12" i="5"/>
  <c r="L102" i="5"/>
  <c r="S11" i="5"/>
  <c r="C71" i="3"/>
  <c r="C69" i="4"/>
  <c r="V5" i="2"/>
  <c r="D12" i="6"/>
  <c r="E11" i="6"/>
  <c r="J11" i="6"/>
  <c r="J103" i="5"/>
  <c r="N13" i="5"/>
  <c r="J11" i="5"/>
  <c r="D12" i="5"/>
  <c r="E11" i="5"/>
  <c r="K11" i="5"/>
  <c r="P104" i="5"/>
  <c r="Q14" i="5"/>
  <c r="L13" i="6"/>
  <c r="M14" i="6"/>
  <c r="L103" i="6"/>
  <c r="L15" i="5"/>
  <c r="P56" i="1"/>
  <c r="S27" i="1"/>
  <c r="L75" i="4"/>
  <c r="L77" i="3"/>
  <c r="S12" i="2"/>
  <c r="L57" i="1"/>
  <c r="C70" i="4"/>
  <c r="C72" i="3"/>
  <c r="V6" i="2"/>
  <c r="AA54" i="1"/>
  <c r="AB54" i="1"/>
  <c r="C10" i="2"/>
  <c r="E56" i="1"/>
  <c r="K11" i="6"/>
  <c r="T11" i="6"/>
  <c r="C101" i="6"/>
  <c r="P105" i="5"/>
  <c r="M86" i="5"/>
  <c r="N14" i="5"/>
  <c r="J104" i="5"/>
  <c r="C102" i="5"/>
  <c r="T11" i="5"/>
  <c r="L103" i="5"/>
  <c r="M13" i="5"/>
  <c r="S12" i="5"/>
  <c r="J103" i="6"/>
  <c r="N14" i="6"/>
  <c r="F7" i="2"/>
  <c r="K52" i="1"/>
  <c r="E7" i="2"/>
  <c r="J7" i="2"/>
  <c r="D9" i="2"/>
  <c r="AF54" i="1"/>
  <c r="O9" i="2"/>
  <c r="AI54" i="1"/>
  <c r="R9" i="2"/>
  <c r="H54" i="1"/>
  <c r="F9" i="2"/>
  <c r="AE54" i="1"/>
  <c r="N9" i="2"/>
  <c r="J12" i="5"/>
  <c r="E12" i="5"/>
  <c r="D13" i="5"/>
  <c r="P102" i="6"/>
  <c r="Q13" i="6"/>
  <c r="N73" i="3"/>
  <c r="N71" i="4"/>
  <c r="L16" i="5"/>
  <c r="L14" i="6"/>
  <c r="AI53" i="1"/>
  <c r="R8" i="2"/>
  <c r="AB53" i="1"/>
  <c r="H53" i="1"/>
  <c r="AG53" i="1"/>
  <c r="P8" i="2"/>
  <c r="D8" i="2"/>
  <c r="AF53" i="1"/>
  <c r="O8" i="2"/>
  <c r="AE53" i="1"/>
  <c r="N8" i="2"/>
  <c r="AH53" i="1"/>
  <c r="Q8" i="2"/>
  <c r="P57" i="1"/>
  <c r="S28" i="1"/>
  <c r="P58" i="1"/>
  <c r="D13" i="6"/>
  <c r="E12" i="6"/>
  <c r="J12" i="6"/>
  <c r="K12" i="6"/>
  <c r="J75" i="4"/>
  <c r="J77" i="3"/>
  <c r="M56" i="1"/>
  <c r="E33" i="1"/>
  <c r="T7" i="2"/>
  <c r="F73" i="3"/>
  <c r="F71" i="4"/>
  <c r="H71" i="4"/>
  <c r="H73" i="3"/>
  <c r="F56" i="1"/>
  <c r="W55" i="1"/>
  <c r="X55" i="1"/>
  <c r="Z55" i="1"/>
  <c r="J55" i="1"/>
  <c r="AD55" i="1"/>
  <c r="Y55" i="1"/>
  <c r="G55" i="1"/>
  <c r="B14" i="2"/>
  <c r="D60" i="1"/>
  <c r="L104" i="6"/>
  <c r="M15" i="6"/>
  <c r="T10" i="6"/>
  <c r="C100" i="6"/>
  <c r="E71" i="4"/>
  <c r="E73" i="3"/>
  <c r="L76" i="4"/>
  <c r="S13" i="2"/>
  <c r="L78" i="3"/>
  <c r="L58" i="1"/>
  <c r="K54" i="1"/>
  <c r="S54" i="1"/>
  <c r="AG54" i="1"/>
  <c r="P9" i="2"/>
  <c r="H73" i="4"/>
  <c r="AH54" i="1"/>
  <c r="Q9" i="2"/>
  <c r="M7" i="2"/>
  <c r="K12" i="5"/>
  <c r="C11" i="2"/>
  <c r="E57" i="1"/>
  <c r="V7" i="2"/>
  <c r="T12" i="5"/>
  <c r="C103" i="5"/>
  <c r="T12" i="6"/>
  <c r="C102" i="6"/>
  <c r="U55" i="1"/>
  <c r="O55" i="1"/>
  <c r="Q55" i="1"/>
  <c r="L15" i="6"/>
  <c r="J13" i="5"/>
  <c r="D14" i="5"/>
  <c r="E13" i="5"/>
  <c r="C71" i="4"/>
  <c r="C73" i="3"/>
  <c r="S52" i="1"/>
  <c r="M16" i="6"/>
  <c r="L105" i="6"/>
  <c r="M57" i="1"/>
  <c r="J78" i="3"/>
  <c r="J76" i="4"/>
  <c r="E34" i="1"/>
  <c r="B15" i="2"/>
  <c r="D61" i="1"/>
  <c r="AA55" i="1"/>
  <c r="F57" i="1"/>
  <c r="W56" i="1"/>
  <c r="X56" i="1"/>
  <c r="Z56" i="1"/>
  <c r="J56" i="1"/>
  <c r="AD56" i="1"/>
  <c r="Y56" i="1"/>
  <c r="G56" i="1"/>
  <c r="U56" i="1"/>
  <c r="O56" i="1"/>
  <c r="Q56" i="1"/>
  <c r="J8" i="2"/>
  <c r="E8" i="2"/>
  <c r="N74" i="3"/>
  <c r="N72" i="4"/>
  <c r="E75" i="3"/>
  <c r="E73" i="4"/>
  <c r="D14" i="6"/>
  <c r="J13" i="6"/>
  <c r="E13" i="6"/>
  <c r="K13" i="6"/>
  <c r="T8" i="2"/>
  <c r="F72" i="4"/>
  <c r="F74" i="3"/>
  <c r="H74" i="3"/>
  <c r="H72" i="4"/>
  <c r="L17" i="5"/>
  <c r="Q14" i="6"/>
  <c r="P104" i="6"/>
  <c r="P103" i="6"/>
  <c r="L104" i="5"/>
  <c r="M14" i="5"/>
  <c r="S13" i="5"/>
  <c r="J105" i="5"/>
  <c r="N15" i="5"/>
  <c r="E74" i="3"/>
  <c r="E72" i="4"/>
  <c r="F8" i="2"/>
  <c r="K53" i="1"/>
  <c r="S53" i="1"/>
  <c r="S13" i="6"/>
  <c r="N75" i="3"/>
  <c r="N73" i="4"/>
  <c r="J9" i="2"/>
  <c r="E9" i="2"/>
  <c r="N15" i="6"/>
  <c r="J104" i="6"/>
  <c r="L79" i="3"/>
  <c r="L77" i="4"/>
  <c r="S14" i="2"/>
  <c r="L59" i="1"/>
  <c r="H75" i="3"/>
  <c r="T9" i="2"/>
  <c r="F75" i="3"/>
  <c r="F73" i="4"/>
  <c r="M9" i="2"/>
  <c r="C75" i="3"/>
  <c r="K13" i="5"/>
  <c r="C104" i="5"/>
  <c r="M8" i="2"/>
  <c r="V8" i="2"/>
  <c r="E58" i="1"/>
  <c r="C12" i="2"/>
  <c r="C103" i="6"/>
  <c r="T13" i="6"/>
  <c r="M15" i="5"/>
  <c r="L105" i="5"/>
  <c r="S14" i="5"/>
  <c r="D15" i="6"/>
  <c r="J14" i="6"/>
  <c r="E14" i="6"/>
  <c r="K14" i="6"/>
  <c r="D10" i="2"/>
  <c r="AG55" i="1"/>
  <c r="P10" i="2"/>
  <c r="AF55" i="1"/>
  <c r="O10" i="2"/>
  <c r="H55" i="1"/>
  <c r="AI55" i="1"/>
  <c r="R10" i="2"/>
  <c r="AB55" i="1"/>
  <c r="AE55" i="1"/>
  <c r="N10" i="2"/>
  <c r="AH55" i="1"/>
  <c r="Q10" i="2"/>
  <c r="L106" i="6"/>
  <c r="M17" i="6"/>
  <c r="J106" i="5"/>
  <c r="N16" i="5"/>
  <c r="L18" i="5"/>
  <c r="B16" i="2"/>
  <c r="B17" i="2"/>
  <c r="D62" i="1"/>
  <c r="J14" i="5"/>
  <c r="E14" i="5"/>
  <c r="D15" i="5"/>
  <c r="S14" i="6"/>
  <c r="M85" i="6"/>
  <c r="L16" i="6"/>
  <c r="J105" i="6"/>
  <c r="N16" i="6"/>
  <c r="AA56" i="1"/>
  <c r="AD57" i="1"/>
  <c r="W57" i="1"/>
  <c r="X57" i="1"/>
  <c r="Z57" i="1"/>
  <c r="J57" i="1"/>
  <c r="F58" i="1"/>
  <c r="G57" i="1"/>
  <c r="U57" i="1"/>
  <c r="O57" i="1"/>
  <c r="Q57" i="1"/>
  <c r="Y57" i="1"/>
  <c r="AA57" i="1"/>
  <c r="J77" i="4"/>
  <c r="M58" i="1"/>
  <c r="J79" i="3"/>
  <c r="E35" i="1"/>
  <c r="L80" i="3"/>
  <c r="L78" i="4"/>
  <c r="S15" i="2"/>
  <c r="L60" i="1"/>
  <c r="C73" i="4"/>
  <c r="T13" i="5"/>
  <c r="V9" i="2"/>
  <c r="C74" i="3"/>
  <c r="C72" i="4"/>
  <c r="C13" i="2"/>
  <c r="E59" i="1"/>
  <c r="K14" i="5"/>
  <c r="C105" i="5"/>
  <c r="C104" i="6"/>
  <c r="T14" i="6"/>
  <c r="D12" i="2"/>
  <c r="AI57" i="1"/>
  <c r="R12" i="2"/>
  <c r="AB57" i="1"/>
  <c r="AG57" i="1"/>
  <c r="P12" i="2"/>
  <c r="H57" i="1"/>
  <c r="F12" i="2"/>
  <c r="AF57" i="1"/>
  <c r="O12" i="2"/>
  <c r="AE57" i="1"/>
  <c r="N12" i="2"/>
  <c r="AH57" i="1"/>
  <c r="Q12" i="2"/>
  <c r="L17" i="6"/>
  <c r="N17" i="5"/>
  <c r="J107" i="5"/>
  <c r="E76" i="3"/>
  <c r="E74" i="4"/>
  <c r="T10" i="2"/>
  <c r="J78" i="4"/>
  <c r="J80" i="3"/>
  <c r="E36" i="1"/>
  <c r="M59" i="1"/>
  <c r="J15" i="5"/>
  <c r="D16" i="5"/>
  <c r="E15" i="5"/>
  <c r="K15" i="5"/>
  <c r="L107" i="6"/>
  <c r="L117" i="6"/>
  <c r="M18" i="6"/>
  <c r="H74" i="4"/>
  <c r="H76" i="3"/>
  <c r="N74" i="4"/>
  <c r="N76" i="3"/>
  <c r="E10" i="2"/>
  <c r="J10" i="2"/>
  <c r="L106" i="5"/>
  <c r="M16" i="5"/>
  <c r="F59" i="1"/>
  <c r="G58" i="1"/>
  <c r="U58" i="1"/>
  <c r="O58" i="1"/>
  <c r="Q58" i="1"/>
  <c r="Y58" i="1"/>
  <c r="J58" i="1"/>
  <c r="AD58" i="1"/>
  <c r="W58" i="1"/>
  <c r="X58" i="1"/>
  <c r="Z58" i="1"/>
  <c r="D11" i="2"/>
  <c r="AG56" i="1"/>
  <c r="P11" i="2"/>
  <c r="AF56" i="1"/>
  <c r="O11" i="2"/>
  <c r="H56" i="1"/>
  <c r="AI56" i="1"/>
  <c r="R11" i="2"/>
  <c r="AB56" i="1"/>
  <c r="AE56" i="1"/>
  <c r="N11" i="2"/>
  <c r="AH56" i="1"/>
  <c r="Q11" i="2"/>
  <c r="N17" i="6"/>
  <c r="J107" i="6"/>
  <c r="J106" i="6"/>
  <c r="F74" i="4"/>
  <c r="F76" i="3"/>
  <c r="F10" i="2"/>
  <c r="K55" i="1"/>
  <c r="D16" i="6"/>
  <c r="E15" i="6"/>
  <c r="J15" i="6"/>
  <c r="K15" i="6"/>
  <c r="L81" i="3"/>
  <c r="S16" i="2"/>
  <c r="L79" i="4"/>
  <c r="L61" i="1"/>
  <c r="N18" i="6"/>
  <c r="T14" i="5"/>
  <c r="C14" i="2"/>
  <c r="E60" i="1"/>
  <c r="K57" i="1"/>
  <c r="S57" i="1"/>
  <c r="C106" i="5"/>
  <c r="L107" i="5"/>
  <c r="M17" i="5"/>
  <c r="D17" i="5"/>
  <c r="E16" i="5"/>
  <c r="J16" i="5"/>
  <c r="J79" i="4"/>
  <c r="J81" i="3"/>
  <c r="M60" i="1"/>
  <c r="E37" i="1"/>
  <c r="J108" i="5"/>
  <c r="J118" i="5"/>
  <c r="N18" i="5"/>
  <c r="E78" i="3"/>
  <c r="E76" i="4"/>
  <c r="T12" i="2"/>
  <c r="H77" i="3"/>
  <c r="H75" i="4"/>
  <c r="J59" i="1"/>
  <c r="Y59" i="1"/>
  <c r="W59" i="1"/>
  <c r="X59" i="1"/>
  <c r="Z59" i="1"/>
  <c r="AD59" i="1"/>
  <c r="G59" i="1"/>
  <c r="U59" i="1"/>
  <c r="O59" i="1"/>
  <c r="F60" i="1"/>
  <c r="N78" i="3"/>
  <c r="N76" i="4"/>
  <c r="C105" i="6"/>
  <c r="D17" i="6"/>
  <c r="E16" i="6"/>
  <c r="J16" i="6"/>
  <c r="N75" i="4"/>
  <c r="N77" i="3"/>
  <c r="E11" i="2"/>
  <c r="J11" i="2"/>
  <c r="L18" i="6"/>
  <c r="J12" i="2"/>
  <c r="E12" i="2"/>
  <c r="E77" i="3"/>
  <c r="E75" i="4"/>
  <c r="T11" i="2"/>
  <c r="J117" i="6"/>
  <c r="S55" i="1"/>
  <c r="F75" i="4"/>
  <c r="F77" i="3"/>
  <c r="F11" i="2"/>
  <c r="K56" i="1"/>
  <c r="S56" i="1"/>
  <c r="AA58" i="1"/>
  <c r="M10" i="2"/>
  <c r="F78" i="3"/>
  <c r="F76" i="4"/>
  <c r="H76" i="4"/>
  <c r="H78" i="3"/>
  <c r="L82" i="3"/>
  <c r="L92" i="3"/>
  <c r="L80" i="4"/>
  <c r="L90" i="4"/>
  <c r="S17" i="2"/>
  <c r="L62" i="1"/>
  <c r="K16" i="5"/>
  <c r="C107" i="5"/>
  <c r="K16" i="6"/>
  <c r="C15" i="2"/>
  <c r="E61" i="1"/>
  <c r="M12" i="2"/>
  <c r="V12" i="2"/>
  <c r="M11" i="2"/>
  <c r="V11" i="2"/>
  <c r="C106" i="6"/>
  <c r="F61" i="1"/>
  <c r="W60" i="1"/>
  <c r="X60" i="1"/>
  <c r="Z60" i="1"/>
  <c r="G60" i="1"/>
  <c r="U60" i="1"/>
  <c r="O60" i="1"/>
  <c r="J60" i="1"/>
  <c r="AD60" i="1"/>
  <c r="AA59" i="1"/>
  <c r="AH59" i="1"/>
  <c r="Q14" i="2"/>
  <c r="L108" i="5"/>
  <c r="L118" i="5"/>
  <c r="M18" i="5"/>
  <c r="C74" i="4"/>
  <c r="C76" i="3"/>
  <c r="J17" i="6"/>
  <c r="J18" i="6"/>
  <c r="E17" i="6"/>
  <c r="E18" i="6"/>
  <c r="D18" i="6"/>
  <c r="V10" i="2"/>
  <c r="E17" i="5"/>
  <c r="E18" i="5"/>
  <c r="J17" i="5"/>
  <c r="J18" i="5"/>
  <c r="D18" i="5"/>
  <c r="AG58" i="1"/>
  <c r="P13" i="2"/>
  <c r="AB58" i="1"/>
  <c r="AF58" i="1"/>
  <c r="O13" i="2"/>
  <c r="D13" i="2"/>
  <c r="H58" i="1"/>
  <c r="AI58" i="1"/>
  <c r="R13" i="2"/>
  <c r="AE58" i="1"/>
  <c r="N13" i="2"/>
  <c r="AH58" i="1"/>
  <c r="Q13" i="2"/>
  <c r="J80" i="4"/>
  <c r="J90" i="4"/>
  <c r="K25" i="4"/>
  <c r="M61" i="1"/>
  <c r="M62" i="1"/>
  <c r="J82" i="3"/>
  <c r="J92" i="3"/>
  <c r="C75" i="4"/>
  <c r="Y60" i="1"/>
  <c r="AA60" i="1"/>
  <c r="AF60" i="1"/>
  <c r="O15" i="2"/>
  <c r="C77" i="3"/>
  <c r="C76" i="4"/>
  <c r="C16" i="2"/>
  <c r="C17" i="2"/>
  <c r="E62" i="1"/>
  <c r="K17" i="6"/>
  <c r="C107" i="6"/>
  <c r="C117" i="6"/>
  <c r="O42" i="6"/>
  <c r="O49" i="6"/>
  <c r="M73" i="6"/>
  <c r="C78" i="3"/>
  <c r="W61" i="1"/>
  <c r="X61" i="1"/>
  <c r="Z61" i="1"/>
  <c r="J61" i="1"/>
  <c r="J62" i="1"/>
  <c r="AD61" i="1"/>
  <c r="G61" i="1"/>
  <c r="G62" i="1"/>
  <c r="F62" i="1"/>
  <c r="H77" i="4"/>
  <c r="H79" i="3"/>
  <c r="F79" i="3"/>
  <c r="F77" i="4"/>
  <c r="J13" i="2"/>
  <c r="E13" i="2"/>
  <c r="K17" i="5"/>
  <c r="F78" i="4"/>
  <c r="F80" i="3"/>
  <c r="AB59" i="1"/>
  <c r="AF59" i="1"/>
  <c r="O14" i="2"/>
  <c r="AG59" i="1"/>
  <c r="P14" i="2"/>
  <c r="H59" i="1"/>
  <c r="D14" i="2"/>
  <c r="AE59" i="1"/>
  <c r="N14" i="2"/>
  <c r="F13" i="2"/>
  <c r="K58" i="1"/>
  <c r="S58" i="1"/>
  <c r="E77" i="4"/>
  <c r="E79" i="3"/>
  <c r="T13" i="2"/>
  <c r="N79" i="3"/>
  <c r="K59" i="3"/>
  <c r="N77" i="4"/>
  <c r="K57" i="4"/>
  <c r="AB60" i="1"/>
  <c r="Y61" i="1"/>
  <c r="AA61" i="1"/>
  <c r="AH60" i="1"/>
  <c r="Q15" i="2"/>
  <c r="F79" i="4"/>
  <c r="H60" i="1"/>
  <c r="F15" i="2"/>
  <c r="AE60" i="1"/>
  <c r="N15" i="2"/>
  <c r="E79" i="4"/>
  <c r="K18" i="6"/>
  <c r="U61" i="1"/>
  <c r="O61" i="1"/>
  <c r="O62" i="1"/>
  <c r="D15" i="2"/>
  <c r="E15" i="2"/>
  <c r="AG60" i="1"/>
  <c r="P15" i="2"/>
  <c r="H79" i="4"/>
  <c r="C108" i="5"/>
  <c r="C118" i="5"/>
  <c r="O41" i="5"/>
  <c r="O48" i="5"/>
  <c r="M72" i="5"/>
  <c r="K18" i="5"/>
  <c r="E14" i="2"/>
  <c r="J14" i="2"/>
  <c r="F14" i="2"/>
  <c r="K59" i="1"/>
  <c r="M13" i="2"/>
  <c r="E78" i="4"/>
  <c r="E80" i="3"/>
  <c r="H80" i="3"/>
  <c r="H78" i="4"/>
  <c r="M77" i="6"/>
  <c r="O73" i="6"/>
  <c r="M75" i="6"/>
  <c r="M76" i="6"/>
  <c r="M79" i="6"/>
  <c r="O79" i="6"/>
  <c r="F81" i="3"/>
  <c r="E81" i="3"/>
  <c r="H81" i="3"/>
  <c r="K60" i="1"/>
  <c r="J15" i="2"/>
  <c r="M15" i="2"/>
  <c r="M14" i="2"/>
  <c r="C80" i="3"/>
  <c r="M76" i="5"/>
  <c r="M78" i="5"/>
  <c r="M75" i="5"/>
  <c r="M77" i="5"/>
  <c r="M80" i="5"/>
  <c r="O80" i="5"/>
  <c r="O72" i="5"/>
  <c r="M74" i="5"/>
  <c r="C79" i="3"/>
  <c r="C77" i="4"/>
  <c r="M78" i="6"/>
  <c r="O78" i="6"/>
  <c r="M80" i="6"/>
  <c r="AG61" i="1"/>
  <c r="P16" i="2"/>
  <c r="AF61" i="1"/>
  <c r="O16" i="2"/>
  <c r="O17" i="2"/>
  <c r="AB61" i="1"/>
  <c r="H61" i="1"/>
  <c r="D16" i="2"/>
  <c r="AE61" i="1"/>
  <c r="N16" i="2"/>
  <c r="AH61" i="1"/>
  <c r="Q16" i="2"/>
  <c r="V13" i="2"/>
  <c r="C78" i="4"/>
  <c r="C81" i="3"/>
  <c r="C79" i="4"/>
  <c r="H82" i="3"/>
  <c r="H92" i="3"/>
  <c r="H80" i="4"/>
  <c r="H90" i="4"/>
  <c r="K17" i="4"/>
  <c r="M20" i="4"/>
  <c r="P17" i="2"/>
  <c r="F80" i="4"/>
  <c r="F90" i="4"/>
  <c r="K24" i="4"/>
  <c r="Q17" i="2"/>
  <c r="F82" i="3"/>
  <c r="F92" i="3"/>
  <c r="E80" i="4"/>
  <c r="E90" i="4"/>
  <c r="K23" i="4"/>
  <c r="E82" i="3"/>
  <c r="E92" i="3"/>
  <c r="N17" i="2"/>
  <c r="E16" i="2"/>
  <c r="E17" i="2"/>
  <c r="J16" i="2"/>
  <c r="J17" i="2"/>
  <c r="D17" i="2"/>
  <c r="F16" i="2"/>
  <c r="F17" i="2"/>
  <c r="H62" i="1"/>
  <c r="K61" i="1"/>
  <c r="K62" i="1"/>
  <c r="O80" i="6"/>
  <c r="M81" i="6"/>
  <c r="M82" i="6"/>
  <c r="O82" i="6"/>
  <c r="O84" i="6"/>
  <c r="M79" i="5"/>
  <c r="O79" i="5"/>
  <c r="M81" i="5"/>
  <c r="O81" i="5"/>
  <c r="M82" i="5"/>
  <c r="M83" i="5"/>
  <c r="O83" i="5"/>
  <c r="O85" i="5"/>
  <c r="M86" i="6"/>
  <c r="M87" i="6"/>
  <c r="Q16" i="6"/>
  <c r="M88" i="6"/>
  <c r="Q17" i="6"/>
  <c r="M88" i="5"/>
  <c r="Q16" i="5"/>
  <c r="M87" i="5"/>
  <c r="K37" i="4"/>
  <c r="M37" i="4"/>
  <c r="M16" i="2"/>
  <c r="C80" i="4"/>
  <c r="C90" i="4"/>
  <c r="M14" i="4"/>
  <c r="M21" i="4"/>
  <c r="K45" i="4"/>
  <c r="C82" i="3"/>
  <c r="C92" i="3"/>
  <c r="M17" i="2"/>
  <c r="P107" i="6"/>
  <c r="S17" i="6"/>
  <c r="P107" i="5"/>
  <c r="S16" i="5"/>
  <c r="T16" i="5"/>
  <c r="P106" i="6"/>
  <c r="S16" i="6"/>
  <c r="T16" i="6"/>
  <c r="M89" i="5"/>
  <c r="Q17" i="5"/>
  <c r="Q15" i="5"/>
  <c r="Q15" i="6"/>
  <c r="M89" i="6"/>
  <c r="O89" i="6"/>
  <c r="M14" i="3"/>
  <c r="K17" i="3"/>
  <c r="M45" i="4"/>
  <c r="K47" i="4"/>
  <c r="K49" i="4"/>
  <c r="K48" i="4"/>
  <c r="K51" i="4"/>
  <c r="M51" i="4"/>
  <c r="P108" i="5"/>
  <c r="S17" i="5"/>
  <c r="T17" i="5"/>
  <c r="M90" i="5"/>
  <c r="O90" i="5"/>
  <c r="P105" i="6"/>
  <c r="P117" i="6"/>
  <c r="S15" i="6"/>
  <c r="T15" i="6"/>
  <c r="T17" i="6"/>
  <c r="P106" i="5"/>
  <c r="Q18" i="5"/>
  <c r="S15" i="5"/>
  <c r="Q18" i="6"/>
  <c r="P118" i="5"/>
  <c r="K20" i="3"/>
  <c r="M20" i="3"/>
  <c r="M21" i="3"/>
  <c r="K44" i="3"/>
  <c r="T18" i="6"/>
  <c r="S18" i="5"/>
  <c r="T15" i="5"/>
  <c r="T18" i="5"/>
  <c r="S18" i="6"/>
  <c r="K50" i="4"/>
  <c r="M50" i="4"/>
  <c r="K52" i="4"/>
  <c r="M52" i="4"/>
  <c r="K53" i="4"/>
  <c r="K54" i="4"/>
  <c r="M54" i="4"/>
  <c r="M56" i="4"/>
  <c r="K48" i="3"/>
  <c r="M44" i="3"/>
  <c r="K46" i="3"/>
  <c r="K51" i="3"/>
  <c r="K49" i="3"/>
  <c r="K47" i="3"/>
  <c r="K58" i="4"/>
  <c r="K59" i="4"/>
  <c r="N79" i="4"/>
  <c r="K53" i="3"/>
  <c r="M53" i="3"/>
  <c r="K52" i="3"/>
  <c r="M52" i="3"/>
  <c r="K60" i="4"/>
  <c r="N80" i="4"/>
  <c r="N78" i="4"/>
  <c r="K54" i="3"/>
  <c r="M54" i="3"/>
  <c r="K55" i="3"/>
  <c r="K56" i="3"/>
  <c r="M56" i="3"/>
  <c r="M58" i="3"/>
  <c r="K60" i="3"/>
  <c r="S29" i="1"/>
  <c r="K61" i="4"/>
  <c r="M61" i="4"/>
  <c r="K62" i="4"/>
  <c r="N90" i="4"/>
  <c r="K61" i="3"/>
  <c r="S30" i="1"/>
  <c r="P60" i="1"/>
  <c r="AI60" i="1"/>
  <c r="R15" i="2"/>
  <c r="T15" i="2"/>
  <c r="V15" i="2"/>
  <c r="Q32" i="1"/>
  <c r="P59" i="1"/>
  <c r="K62" i="3"/>
  <c r="S31" i="1"/>
  <c r="P61" i="1"/>
  <c r="AI61" i="1"/>
  <c r="R16" i="2"/>
  <c r="T16" i="2"/>
  <c r="V16" i="2"/>
  <c r="N81" i="3"/>
  <c r="Q60" i="1"/>
  <c r="S60" i="1"/>
  <c r="Q59" i="1"/>
  <c r="AI59" i="1"/>
  <c r="R14" i="2"/>
  <c r="N82" i="3"/>
  <c r="Q61" i="1"/>
  <c r="S61" i="1"/>
  <c r="P62" i="1"/>
  <c r="K63" i="3"/>
  <c r="M63" i="3"/>
  <c r="K64" i="3"/>
  <c r="S32" i="1"/>
  <c r="S59" i="1"/>
  <c r="N80" i="3"/>
  <c r="R17" i="2"/>
  <c r="T14" i="2"/>
  <c r="S62" i="1"/>
  <c r="N92" i="3"/>
  <c r="Q62" i="1"/>
  <c r="T17" i="2"/>
  <c r="V14" i="2"/>
  <c r="V17" i="2"/>
</calcChain>
</file>

<file path=xl/sharedStrings.xml><?xml version="1.0" encoding="utf-8"?>
<sst xmlns="http://schemas.openxmlformats.org/spreadsheetml/2006/main" count="696" uniqueCount="269">
  <si>
    <t>PATEL ARUN PATEL....9714563740</t>
  </si>
  <si>
    <t xml:space="preserve">GPF ના ખાના માં 0 કરવાથી ઓટોમેટીક CPF ગણતરી થઈ જશે </t>
  </si>
  <si>
    <t>નાણાંકીય વર્ષ -</t>
  </si>
  <si>
    <t xml:space="preserve">શાળાનું નામ - </t>
  </si>
  <si>
    <t>TINTODA</t>
  </si>
  <si>
    <t>પ્રા.શાળા</t>
  </si>
  <si>
    <t>પે સેન્ટર</t>
  </si>
  <si>
    <t xml:space="preserve">શિક્ષકનું નામ - </t>
  </si>
  <si>
    <t>PATEL</t>
  </si>
  <si>
    <t>સરનામું -</t>
  </si>
  <si>
    <t>તાલુકો-</t>
  </si>
  <si>
    <t>GANDHINAGAR</t>
  </si>
  <si>
    <t>જીલ્લો-</t>
  </si>
  <si>
    <t>PIN.</t>
  </si>
  <si>
    <t>હોદ્દો-</t>
  </si>
  <si>
    <t>પાન નંબર -</t>
  </si>
  <si>
    <t>ADXPP****C</t>
  </si>
  <si>
    <t>સંપર્ક નંબર -</t>
  </si>
  <si>
    <t>જન્મ તારીખ-</t>
  </si>
  <si>
    <t>એસેસમેન્ટ વર્ષ -</t>
  </si>
  <si>
    <t xml:space="preserve">બેંક એકાઉન્ટ નંબર - </t>
  </si>
  <si>
    <t>MALE</t>
  </si>
  <si>
    <t>ઇન્ક્રીમેન્ટ માસ</t>
  </si>
  <si>
    <t>મોંઘવારી પુરવણીમાં થયેલ CPF કપાત</t>
  </si>
  <si>
    <t>મોં.પુરવણી 1/01/2024 થી 30/06/2024</t>
  </si>
  <si>
    <t>ઉચ્ચતર પુરવાણી ૧</t>
  </si>
  <si>
    <t>ઉચ્ચતર પુરવાણી ૨</t>
  </si>
  <si>
    <t>રોકાણ</t>
  </si>
  <si>
    <t>કપાત</t>
  </si>
  <si>
    <t>પગાર ર્બીલે કપાયેલ ટેક્ષ</t>
  </si>
  <si>
    <t>અર્ધ પગારી રજા</t>
  </si>
  <si>
    <t>માસ</t>
  </si>
  <si>
    <t>જો પૂરો મહિનો કપાત પગારી રજા હોય તો જે તે મહિનાના દિવસો ડબલ કરી અર્ધ પગારી રજાના કોલમમાં દર્શાવવા જેથી આખા મહિનાની કપાત થઇ જશે.</t>
  </si>
  <si>
    <t xml:space="preserve">પગાર તફાવત </t>
  </si>
  <si>
    <t>મકાન લોનનું વ્યાજ</t>
  </si>
  <si>
    <t>પે.બેન્ડ</t>
  </si>
  <si>
    <t>LTC બીલ</t>
  </si>
  <si>
    <t>ગ્રેડ.પે</t>
  </si>
  <si>
    <t>અન્ય પુરવણી બીલ</t>
  </si>
  <si>
    <t>પી.એલ. આઈ</t>
  </si>
  <si>
    <t>પે.મેટ્રીક્સ</t>
  </si>
  <si>
    <t>એલ.આઈ.સી.</t>
  </si>
  <si>
    <t xml:space="preserve">જી.પી.એફ </t>
  </si>
  <si>
    <t>.</t>
  </si>
  <si>
    <t xml:space="preserve">એલ.આઈ.સી.પગાર બિલે </t>
  </si>
  <si>
    <t xml:space="preserve">આચાર્ય એલાઉન્સ </t>
  </si>
  <si>
    <t>HRA</t>
  </si>
  <si>
    <t>મોંઘવારી</t>
  </si>
  <si>
    <t>જૂથ વીમો</t>
  </si>
  <si>
    <t>એન.એસ.સી.</t>
  </si>
  <si>
    <t>ટ્રાન્સપોર્ટ એલા.</t>
  </si>
  <si>
    <t xml:space="preserve">એન.એસ.સી. વ્યાજ </t>
  </si>
  <si>
    <t>વ્યેવસાય વેરો</t>
  </si>
  <si>
    <t>નોંધ - પૂરો મહિનો કપાત ના હોય ને જો મહિના કરતા ઓછી કપાત હોય તો દર્શાવી શકાશે નહિ જેના માટે મેન્યુઅલી શીટ નો ઉપયોગ કરવો</t>
  </si>
  <si>
    <t>જીવન સુરક્ષા</t>
  </si>
  <si>
    <t>કુ.ની એલા.</t>
  </si>
  <si>
    <t>પી.પી.એફ.</t>
  </si>
  <si>
    <t>કેશ એલા.</t>
  </si>
  <si>
    <t>મકાન લોન</t>
  </si>
  <si>
    <t>મેડીકલેઇમ</t>
  </si>
  <si>
    <t>એજ્યુકેશન ફી</t>
  </si>
  <si>
    <t>તબીબી સારવાર</t>
  </si>
  <si>
    <t>ઇન્ફ્રાસ્ટ્રકચર  બોન્ડ</t>
  </si>
  <si>
    <t>ઉ.અભ્યાસ માટે લીધીલે લોનનું વ્યાજ</t>
  </si>
  <si>
    <t>ફિક્સ ડીપોજીટ-મ્યુ.ફંડ</t>
  </si>
  <si>
    <t xml:space="preserve">દિવ્યાંગ વ્યક્તિને મળતી કપાત </t>
  </si>
  <si>
    <t xml:space="preserve">(રીલીફ ફંડ / ભેટ દાન 80GGB/GGC) </t>
  </si>
  <si>
    <t>NPS 80CCD 1B ( રૂ.૫૦૦૦૦/- ની મર્યાદામાં)</t>
  </si>
  <si>
    <t>કલમ 89 હેઠળ મળવાપાત્ર છૂટછાટ (10 E)</t>
  </si>
  <si>
    <t>સને -2022/2023    માર્ચ-2022 થી ફેબ્રુઆરી -2023</t>
  </si>
  <si>
    <t xml:space="preserve">પગારની વિગત </t>
  </si>
  <si>
    <t>કુલ પગાર</t>
  </si>
  <si>
    <t>kpitn) (vgt</t>
  </si>
  <si>
    <t>મળવાપાત્ર રકમ</t>
  </si>
  <si>
    <t>વ્યવસાય વેરો</t>
  </si>
  <si>
    <t>C.P.F</t>
  </si>
  <si>
    <t>ઇન્કમટેક્ષ</t>
  </si>
  <si>
    <t>કુલ કપાત</t>
  </si>
  <si>
    <t>s).p).a[f</t>
  </si>
  <si>
    <t>G.P.F</t>
  </si>
  <si>
    <t xml:space="preserve">ગ્રેડ.પે </t>
  </si>
  <si>
    <t>મેડીકલ</t>
  </si>
  <si>
    <t>CLA</t>
  </si>
  <si>
    <t>મકાન ભાડું</t>
  </si>
  <si>
    <t>માર્ચ</t>
  </si>
  <si>
    <t>એપ્રિલ</t>
  </si>
  <si>
    <t>મે</t>
  </si>
  <si>
    <t>જૂન</t>
  </si>
  <si>
    <t>જુલાઈ</t>
  </si>
  <si>
    <t>ઓગસ્ટ</t>
  </si>
  <si>
    <t>સપ્ટેમ્બર</t>
  </si>
  <si>
    <t>ઓક્ટોબર</t>
  </si>
  <si>
    <t>નવેમ્બર</t>
  </si>
  <si>
    <t>ડીસેમ્બર</t>
  </si>
  <si>
    <t>જાન્યુઆરી</t>
  </si>
  <si>
    <t>ફેબ્રુઆરી</t>
  </si>
  <si>
    <t xml:space="preserve">કપાત </t>
  </si>
  <si>
    <t>સી.પી.એફ</t>
  </si>
  <si>
    <t>LIC</t>
  </si>
  <si>
    <t>આ.એ</t>
  </si>
  <si>
    <t>જી.પી.એફ</t>
  </si>
  <si>
    <t>કુલ</t>
  </si>
  <si>
    <t>પગાર કેન્દ્ર -</t>
  </si>
  <si>
    <t xml:space="preserve">નાણાકીય વર્ષ - </t>
  </si>
  <si>
    <t xml:space="preserve">એસેસમેન્ટ વર્ષ- </t>
  </si>
  <si>
    <t>કર્મચારીનું નામ-</t>
  </si>
  <si>
    <t>પિતાનું નામ -</t>
  </si>
  <si>
    <t>સરનામું-</t>
  </si>
  <si>
    <t xml:space="preserve">      Town/ City/ District -</t>
  </si>
  <si>
    <t xml:space="preserve">PIN CODE - </t>
  </si>
  <si>
    <t xml:space="preserve">સંપર્ક નંબર- </t>
  </si>
  <si>
    <t>બેંક એકાઉન્ટ નંબર -</t>
  </si>
  <si>
    <t xml:space="preserve">પુરુષ / સ્ત્રી </t>
  </si>
  <si>
    <t>અ.નં.</t>
  </si>
  <si>
    <t>વિગત</t>
  </si>
  <si>
    <t>રકમ</t>
  </si>
  <si>
    <t>પગારની કુલ ગ્રોસ આવક (સામેલ પત્રક મુજબ )</t>
  </si>
  <si>
    <t xml:space="preserve">બાદ મળવાપાત્ર કપાત રકમ </t>
  </si>
  <si>
    <t>પ્રોફેશનલ ટેક્ષ U/S 16(III) &gt;1500000( Budget 2023)</t>
  </si>
  <si>
    <t xml:space="preserve">મકાન લોનનું વ્યાજ U/S 24(1)(6)- રૂ. ૨૦૦૦૦૦/- ની મર્યાદામાં </t>
  </si>
  <si>
    <t xml:space="preserve">ટ્રાન્સપોર્ટ એલાઉન્સ / અન્ય </t>
  </si>
  <si>
    <t>ટોટલ ( 1 TO 4)</t>
  </si>
  <si>
    <t>કુલ કરપાત્ર આવક  ( 1 - 2 )</t>
  </si>
  <si>
    <t>મળવાપાત્ર કપાત  U/S 80 C upto 1,50,000</t>
  </si>
  <si>
    <t xml:space="preserve">સ્ટેટ ગવર્મેન્ટ ઇન્સ્યુરન્સ </t>
  </si>
  <si>
    <t xml:space="preserve">પી.એલ. આઈ. પ્રીમીયમ </t>
  </si>
  <si>
    <t xml:space="preserve">એલ.આઈ.સી. પ્રીમીયમ </t>
  </si>
  <si>
    <t>એલ.આઈ.સી. પ્રીમીયમ (પગાર બિલે)</t>
  </si>
  <si>
    <t>જીવન સુરક્ષા 80 CCC વધુમાં વધુ ૧૫૦૦૦૦/-</t>
  </si>
  <si>
    <t>પી.પી.એફ. વધુ માં વધુ  રૂ. ૭૦૦૦૦/-</t>
  </si>
  <si>
    <t xml:space="preserve">મકાન લોનની ભરાએલી રકમ </t>
  </si>
  <si>
    <t xml:space="preserve">એજ્યુકેશન ફી </t>
  </si>
  <si>
    <t xml:space="preserve">ઇન્ફ્રાસ્ટ્રકચર  બોન્ડ / ટેક્ષ સેવિંગ બોન્ડ </t>
  </si>
  <si>
    <t xml:space="preserve">કલમ 80 C હેઠળની ફિક્સ ડીપોજીટ (મ્યુ.ફંડ અવીવા. લી.) </t>
  </si>
  <si>
    <t>કુલ (1 TO 13 )</t>
  </si>
  <si>
    <t xml:space="preserve">મેડીકલેઇમ U/S 80 D  રૂ.૨૫૦૦૦/- ની મર્યાદામાં </t>
  </si>
  <si>
    <t xml:space="preserve">80 DD તબીબી સારવાર રૂ. ૧૫૦૦૦/- ની મર્યાદામાં </t>
  </si>
  <si>
    <t>80E ઉચ્ચ અભ્યાસ માટે લીધીલે લોનનું વ્યાજ (રૂ. ૪૦૦૦૦/-સુધી)</t>
  </si>
  <si>
    <t xml:space="preserve">80 U  દિવ્યાંગ વ્યક્તિને મળતી કપાત ૪૦% સુધી રૂ.૭૫૦૦૦/-,80% સુધીરૂ.૧૨૫૦૦૦/- </t>
  </si>
  <si>
    <t xml:space="preserve">80 GGB/GGC (રીલીફ ફંડ / ભેટ દાન) </t>
  </si>
  <si>
    <t>કુલ- (1 TO 6)</t>
  </si>
  <si>
    <t xml:space="preserve">કુલ કરપાત્ર આવક (4-(5+6) નજીકના રૂ. ૧૦/- ના ગુણાંકમાં </t>
  </si>
  <si>
    <t xml:space="preserve">કુલ કરપાત્ર આવક ઉપર ઇન્કમટેક્ષની ગણતરી </t>
  </si>
  <si>
    <t>ભરવાપાત્ર કુલ રકમ (1 TO 5)</t>
  </si>
  <si>
    <t>87 A બાદ 7 લાખથી ઓછી કરપાત્ર આવક માટે રીબેટ રૂ. ૨૫૦૦૦/-</t>
  </si>
  <si>
    <t>કુલ ભરવાપાત્ર ટેક્ષ (8 - 9)</t>
  </si>
  <si>
    <t xml:space="preserve">(એજ્યુકેશન સેસ 2% +હાયર એજ્યુકેશન સેસ 1% +હેલ્થ.. 1%)= 4% </t>
  </si>
  <si>
    <t>ભરવાપાત્ર કરની કુલ રકમ ( 10 + 11 )</t>
  </si>
  <si>
    <t xml:space="preserve">કલમ 89 હેઠળ મળવાપાત્ર છૂટછાટ </t>
  </si>
  <si>
    <t>કુલ ભરવાપાત્ર ટેક્ષ (૧૨ - ૧૩)</t>
  </si>
  <si>
    <t>પગારમાંથી કાપેલ T.D.S. એપ્રિલ-24 થી નવેમ્બર-24 સુધી</t>
  </si>
  <si>
    <t>પગારમાંથી કાપેલ ટેક્ષ ડીસેમ્બર - 24</t>
  </si>
  <si>
    <t>પગારમાંથી કાપેલ ટેક્ષ જાન્યુઆરી - 25</t>
  </si>
  <si>
    <t>પગારમાંથી કાપેલ ટેક્ષ ફેબ્રુઆરી - 25</t>
  </si>
  <si>
    <t>કુલ કાપેલ T.D.S (15 TO 18)</t>
  </si>
  <si>
    <t>રીફંડ</t>
  </si>
  <si>
    <t>આથી પ્રમાણિત કરીએ છીએ કે ઉપર જણાવેલ માહિતી ખરી છે અને કોઈ કરપાત્ર આવક બાકી રહેતી નથી .</t>
  </si>
  <si>
    <t>સ્થળ:-</t>
  </si>
  <si>
    <t>તારીખ:-</t>
  </si>
  <si>
    <t>હોદ્દો:-</t>
  </si>
  <si>
    <t xml:space="preserve">આ.શિક્ષક </t>
  </si>
  <si>
    <t xml:space="preserve">કર્મચારીની સહી </t>
  </si>
  <si>
    <t xml:space="preserve">પગાર અને કપાતની વિગત દર્શાવતું પત્રક </t>
  </si>
  <si>
    <t xml:space="preserve">માસ / વર્ષ </t>
  </si>
  <si>
    <t xml:space="preserve">કુલ ગ્રોસ પગાર </t>
  </si>
  <si>
    <t xml:space="preserve">મળવાપાત્ર કપાતની વિગત </t>
  </si>
  <si>
    <t xml:space="preserve">ટ્રાન્સપોર્ટ એલાઉન્સ </t>
  </si>
  <si>
    <t>GPF  કપાત</t>
  </si>
  <si>
    <t xml:space="preserve">CPF કપાત </t>
  </si>
  <si>
    <t xml:space="preserve">રાજ્ય વીમો </t>
  </si>
  <si>
    <t xml:space="preserve">LIC પગાર બિલે  </t>
  </si>
  <si>
    <t xml:space="preserve">  ભરેલ ટેક્ષ,   (પગાર બિલે)</t>
  </si>
  <si>
    <t>કુલ:-</t>
  </si>
  <si>
    <t xml:space="preserve">અ.નં. </t>
  </si>
  <si>
    <t xml:space="preserve">રોકાણનો પ્રકાર </t>
  </si>
  <si>
    <t xml:space="preserve">તારીખ </t>
  </si>
  <si>
    <t xml:space="preserve">રકમ </t>
  </si>
  <si>
    <t xml:space="preserve">પહોચ નંબર </t>
  </si>
  <si>
    <t xml:space="preserve">બેંક / પોસ્ટ ઓફિસની વિગત </t>
  </si>
  <si>
    <t>ફિક્સ ડીપોજીટ</t>
  </si>
  <si>
    <t xml:space="preserve">મેડીકલેઇમ </t>
  </si>
  <si>
    <t>NPS ( રૂ.૫૦૦૦૦/- ની મર્યાદામાં)</t>
  </si>
  <si>
    <t xml:space="preserve">સોગંદનામું </t>
  </si>
  <si>
    <t xml:space="preserve">આથી હું </t>
  </si>
  <si>
    <t xml:space="preserve">હોદ્દો- </t>
  </si>
  <si>
    <t xml:space="preserve">તા- ગાંધીનગર </t>
  </si>
  <si>
    <t>કર્મચારીની સહી :-</t>
  </si>
  <si>
    <t>આચાર્ય</t>
  </si>
  <si>
    <r>
      <rPr>
        <b/>
        <sz val="11"/>
        <rFont val="Times New Roman"/>
        <charset val="134"/>
      </rPr>
      <t xml:space="preserve">Standard Deduction for Salaried &amp; Pensioner (Rs 50,000) </t>
    </r>
    <r>
      <rPr>
        <b/>
        <sz val="11"/>
        <color rgb="FF0000FF"/>
        <rFont val="Times New Roman"/>
        <charset val="134"/>
      </rPr>
      <t>Budget 2024</t>
    </r>
  </si>
  <si>
    <t>પ્રોફેશનલ ટેક્ષ U/S 16(III)</t>
  </si>
  <si>
    <r>
      <rPr>
        <sz val="11"/>
        <rFont val="Times New Roman"/>
        <charset val="134"/>
      </rPr>
      <t>મકાન લોનનું વ્યાજ U/S 24(1)(6)- રૂ.</t>
    </r>
    <r>
      <rPr>
        <sz val="12"/>
        <rFont val="Times New Roman"/>
        <charset val="134"/>
      </rPr>
      <t xml:space="preserve"> 200000</t>
    </r>
    <r>
      <rPr>
        <sz val="11"/>
        <rFont val="Times New Roman"/>
        <charset val="134"/>
      </rPr>
      <t xml:space="preserve">/- ની મર્યાદામાં </t>
    </r>
  </si>
  <si>
    <t>જી.પી.એફ ફાળો</t>
  </si>
  <si>
    <t>સી.પી.એફ ફાળો</t>
  </si>
  <si>
    <t>કુલ (1 TO 14 )</t>
  </si>
  <si>
    <t xml:space="preserve">80 U  દિવ્યાંગ વ્યક્તિને મળતી કપાત ૪૦% સુધી રૂ.૭૫૦૦૦/-,૮૦% સુધીરૂ.૧૨૫૦૦૦/- </t>
  </si>
  <si>
    <t xml:space="preserve">કુલ કરપાત્ર આવક રૂ. ૨૫૦૦૦૧/- થી રૂ. ૫૦૦૦૦૦/-  સુધી 5%  ટેક્ષ </t>
  </si>
  <si>
    <t xml:space="preserve">રૂ. ૫૦૦૦૦૧/- થી રૂ. ૧૦૦૦૦૦૦/-  સુધી 20%  ટેક્ષ </t>
  </si>
  <si>
    <t xml:space="preserve">રૂ. ૧૦૦૦૦૦૧/-  થી ઉપર 30%  ટેક્ષ </t>
  </si>
  <si>
    <t>ભરવાપાત્ર કુલ રકમ (1 TO 3)</t>
  </si>
  <si>
    <t>87 AC બાદ 5 લાખથી ઓછી કરપાત્ર આવક માટે રીબેટ રૂ. ૧૨૫૦૦/-</t>
  </si>
  <si>
    <t>સને -૨૦૨૪/૨૦૨૫   માર્ચ-૨૦૨૪ થી ફેબ્રુઆરી -૨૦૨૫</t>
  </si>
  <si>
    <t>સપ્ટે.</t>
  </si>
  <si>
    <t>ઓક્ટો.</t>
  </si>
  <si>
    <t>નવે.</t>
  </si>
  <si>
    <t>ડીસે.</t>
  </si>
  <si>
    <t>જાન્યુ.</t>
  </si>
  <si>
    <t>ફેબ્રુ.</t>
  </si>
  <si>
    <t>મોં.પુરવણી 1/10/2023 થી 29/02/2024</t>
  </si>
  <si>
    <t xml:space="preserve">નાણાકીય વર્ષ- </t>
  </si>
  <si>
    <t>VISHNUKUMAR</t>
  </si>
  <si>
    <t>KACHARABHAI</t>
  </si>
  <si>
    <t>TINTODA PRIMARY SCHOOL</t>
  </si>
  <si>
    <t>44801010*****11</t>
  </si>
  <si>
    <t>MAIL</t>
  </si>
  <si>
    <t xml:space="preserve">80 G (રીલીફ ફંડ / ભેટ દાન) </t>
  </si>
  <si>
    <t xml:space="preserve">કુલ કરપાત્ર આવક રૂ. 300001/- થી રૂ. 700000/-  સુધી 5%  ટેક્ષ </t>
  </si>
  <si>
    <t xml:space="preserve">રૂ. 700001/- થી રૂ. 1000000/-  સુધી 10%  ટેક્ષ </t>
  </si>
  <si>
    <t xml:space="preserve">રૂ. 1000001/-  થી રૂ. 1200000/- સુધી 15%  ટેક્ષ </t>
  </si>
  <si>
    <t xml:space="preserve">રૂ. 1200001/-  થી રૂ. 1500000/- સુધી 20%  ટેક્ષ </t>
  </si>
  <si>
    <t xml:space="preserve">રૂ. 1500000/-  કરતાં વધુ આવક પર  30%  ટેક્ષ </t>
  </si>
  <si>
    <t>ભરવાપાત્ર કારની કુલ રકમ ( 10 + 11 )</t>
  </si>
  <si>
    <t>કુલ કાપેલ , T.D.S (15 TO 18)</t>
  </si>
  <si>
    <t>પ્રમાણિત કરીએ છીએ કે ઉપર જણાવેલ માહિતી ખરી છે અને કોઈ કરપાત્ર આવક બાકી રહેતી નથી .</t>
  </si>
  <si>
    <t>ભરેલ ટેક્ષ,(પગાર બિલે)</t>
  </si>
  <si>
    <t>માર્ચ-24</t>
  </si>
  <si>
    <t>એપ્રિલ-24</t>
  </si>
  <si>
    <t>મે-24</t>
  </si>
  <si>
    <t>જુન-24</t>
  </si>
  <si>
    <t>જુલાઈ-24</t>
  </si>
  <si>
    <t>ઓગસ્ટ-24</t>
  </si>
  <si>
    <t>સપ્ટેમ્બર-24</t>
  </si>
  <si>
    <t>ઓક્ટોબર-24</t>
  </si>
  <si>
    <t>નવેમ્બર-24</t>
  </si>
  <si>
    <t>ડીસેમ્બર-24</t>
  </si>
  <si>
    <t>જાન્યુઆરી-25</t>
  </si>
  <si>
    <t>ફેબ્રુઆરી-25</t>
  </si>
  <si>
    <t>(B) ઇન્કમટેક્ષ કલમ 88 I હેઠળ નાણાકીય વર્ષ 2024-2025 દરમ્યાન કરેલા કર રાહત રોકાણોની વિગત</t>
  </si>
  <si>
    <t>એજ્યુકેશન લોન</t>
  </si>
  <si>
    <t>જિ.-ગાંધીનગર  ,કબુલાતનામું આપીને જાણાવું છુ કે, આ સાથેના અને તે અંગેના સેલ્ફ એસેસમેન્ટ ફોર્મમાં મેં જે બચતો લખેલ છે તે પ્રમાણેની તમામ બચતો હું કરીશ જ, પરંતુ તે અંગે જે કોઈ બચતપત્રો લેવાના થશે, રોકાણો કરવાના થશે, તે અંગેના તમામ રોકાણ તા.31/03/2025 સુધીમાં કરી દઈશ તે બાબતની હું ખાત્રી આપું છું .</t>
  </si>
  <si>
    <t>શાળાનું નામ:-</t>
  </si>
  <si>
    <t xml:space="preserve">   સંપર્ક નંબર- </t>
  </si>
  <si>
    <r>
      <t xml:space="preserve">Standard Deduction for Salaried &amp; Pensioner  (Rs 75,000) </t>
    </r>
    <r>
      <rPr>
        <b/>
        <sz val="10"/>
        <color rgb="FF0000FF"/>
        <rFont val="Times New Roman"/>
        <charset val="134"/>
      </rPr>
      <t>Budget 2024</t>
    </r>
  </si>
  <si>
    <r>
      <t xml:space="preserve">Standard Deduction for Salaried &amp; Pensioner (Rs 75,000) </t>
    </r>
    <r>
      <rPr>
        <b/>
        <sz val="11"/>
        <color rgb="FF0000FF"/>
        <rFont val="Times New Roman"/>
        <charset val="134"/>
      </rPr>
      <t>Budget 2024</t>
    </r>
  </si>
  <si>
    <r>
      <t xml:space="preserve">કુલ કરપાત્ર આવક રૂ. 400001/- થી રૂ. 800000/-  સુધી </t>
    </r>
    <r>
      <rPr>
        <b/>
        <sz val="10"/>
        <rFont val="Times New Roman"/>
        <charset val="134"/>
      </rPr>
      <t>5%</t>
    </r>
    <r>
      <rPr>
        <sz val="10"/>
        <rFont val="Times New Roman"/>
        <charset val="134"/>
      </rPr>
      <t xml:space="preserve">  ટેક્ષ </t>
    </r>
  </si>
  <si>
    <r>
      <t xml:space="preserve">રૂ. 800001/- થી રૂ. 1200000/-  સુધી </t>
    </r>
    <r>
      <rPr>
        <b/>
        <sz val="11"/>
        <rFont val="Times New Roman"/>
        <charset val="134"/>
      </rPr>
      <t>10%</t>
    </r>
    <r>
      <rPr>
        <sz val="11"/>
        <rFont val="Times New Roman"/>
        <charset val="134"/>
      </rPr>
      <t xml:space="preserve">  ટેક્ષ </t>
    </r>
  </si>
  <si>
    <r>
      <t xml:space="preserve">રૂ. 1200001/-  થી રૂ. 1600000/- સુધી </t>
    </r>
    <r>
      <rPr>
        <b/>
        <sz val="11"/>
        <rFont val="Times New Roman"/>
        <charset val="134"/>
      </rPr>
      <t>15%</t>
    </r>
    <r>
      <rPr>
        <sz val="11"/>
        <rFont val="Times New Roman"/>
        <charset val="134"/>
      </rPr>
      <t xml:space="preserve">  ટેક્ષ </t>
    </r>
  </si>
  <si>
    <r>
      <t xml:space="preserve">રૂ. 1600001/-  થી રૂ. 2000000/- સુધી </t>
    </r>
    <r>
      <rPr>
        <b/>
        <sz val="11"/>
        <rFont val="Times New Roman"/>
        <family val="1"/>
      </rPr>
      <t>20%</t>
    </r>
    <r>
      <rPr>
        <sz val="11"/>
        <rFont val="Times New Roman"/>
        <charset val="134"/>
      </rPr>
      <t xml:space="preserve">  ટેક્ષ </t>
    </r>
  </si>
  <si>
    <r>
      <t xml:space="preserve">રૂ. 2000001/-  થી રૂ. 2400000/- સુધી </t>
    </r>
    <r>
      <rPr>
        <b/>
        <sz val="11"/>
        <rFont val="Times New Roman"/>
        <family val="1"/>
      </rPr>
      <t>25%</t>
    </r>
    <r>
      <rPr>
        <sz val="11"/>
        <rFont val="Times New Roman"/>
        <charset val="134"/>
      </rPr>
      <t xml:space="preserve">  ટેક્ષ </t>
    </r>
  </si>
  <si>
    <r>
      <t xml:space="preserve">રૂ. 2400000/-  કરતાં વધુ આવક પર  </t>
    </r>
    <r>
      <rPr>
        <b/>
        <sz val="11"/>
        <rFont val="Times New Roman"/>
        <charset val="134"/>
      </rPr>
      <t>30%</t>
    </r>
    <r>
      <rPr>
        <sz val="11"/>
        <rFont val="Times New Roman"/>
        <charset val="134"/>
      </rPr>
      <t xml:space="preserve">  ટેક્ષ </t>
    </r>
  </si>
  <si>
    <t>87 A બાદ 12 લાખથી ઓછી કરપાત્ર આવક માટે રીબેટ</t>
  </si>
  <si>
    <t>ભરવાપાત્ર કુલ રકમ (1 TO 6)</t>
  </si>
  <si>
    <t>પગારમાંથી કાપેલ T.D.S. એપ્રિલ-25 થી નવેમ્બર-25 સુધી</t>
  </si>
  <si>
    <t>પગારમાંથી કાપેલ ટેક્ષ ડીસેમ્બર - 25</t>
  </si>
  <si>
    <t>પગારમાંથી કાપેલ ટેક્ષ જાન્યુઆરી - 26</t>
  </si>
  <si>
    <t>પગારમાંથી કાપેલ ટેક્ષ ફેબ્રુઆરી - 26</t>
  </si>
  <si>
    <t>મોં.પુરવણી 1/01/2025 થી 31/03/2025</t>
  </si>
  <si>
    <t>મોં.પુરવણી 1/07/2025 થી 30/09/2025</t>
  </si>
  <si>
    <t xml:space="preserve">KADJODARA </t>
  </si>
  <si>
    <t xml:space="preserve">SANJAYKUMAR </t>
  </si>
  <si>
    <t xml:space="preserve">NATVARBHAI </t>
  </si>
  <si>
    <t>DATTANI</t>
  </si>
  <si>
    <t>KADJODARA   PRIMARY SCHOOL</t>
  </si>
  <si>
    <t>DEHGAM</t>
  </si>
  <si>
    <t xml:space="preserve">PRINCIPAL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</si>
</sst>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Red]0"/>
    <numFmt numFmtId="165" formatCode="[$-14009]dd\ mmmm\ yyyy"/>
  </numFmts>
  <fonts count="89" x14ac:knownFonts="1">
    <font>
      <sz val="10"/>
      <color rgb="FF000000"/>
      <name val="Calibri"/>
      <charset val="134"/>
      <scheme val="minor"/>
    </font>
    <font>
      <sz val="14"/>
      <color rgb="FFFF0000"/>
      <name val="HARIKRISHNA"/>
      <charset val="134"/>
    </font>
    <font>
      <sz val="10"/>
      <name val="Calibri"/>
      <charset val="134"/>
      <scheme val="minor"/>
    </font>
    <font>
      <sz val="11"/>
      <color rgb="FF0F243E"/>
      <name val="HARIKRISHNA"/>
      <charset val="134"/>
    </font>
    <font>
      <sz val="11"/>
      <color rgb="FF0F243E"/>
      <name val="Times New Roman"/>
      <charset val="134"/>
    </font>
    <font>
      <sz val="12"/>
      <color rgb="FF0F243E"/>
      <name val="HARIKRISHNA"/>
      <charset val="134"/>
    </font>
    <font>
      <b/>
      <sz val="11"/>
      <color rgb="FF0F243E"/>
      <name val="Times New Roman"/>
      <charset val="134"/>
    </font>
    <font>
      <b/>
      <sz val="10"/>
      <color rgb="FF0F243E"/>
      <name val="Times New Roman"/>
      <charset val="134"/>
    </font>
    <font>
      <b/>
      <sz val="12"/>
      <name val="Times New Roman"/>
      <charset val="134"/>
    </font>
    <font>
      <sz val="11"/>
      <name val="Arial"/>
      <charset val="134"/>
    </font>
    <font>
      <b/>
      <sz val="14"/>
      <name val="Times New Roman"/>
      <charset val="134"/>
    </font>
    <font>
      <sz val="11"/>
      <name val="Times New Roman"/>
      <charset val="134"/>
    </font>
    <font>
      <b/>
      <sz val="16"/>
      <name val="Arial"/>
      <charset val="134"/>
    </font>
    <font>
      <b/>
      <sz val="11"/>
      <name val="Times New Roman"/>
      <charset val="134"/>
    </font>
    <font>
      <b/>
      <sz val="11"/>
      <name val="Arial"/>
      <charset val="134"/>
    </font>
    <font>
      <b/>
      <sz val="10"/>
      <name val="Times New Roman"/>
      <charset val="134"/>
    </font>
    <font>
      <b/>
      <sz val="10"/>
      <color rgb="FF7F7F7F"/>
      <name val="Times New Roman"/>
      <charset val="134"/>
    </font>
    <font>
      <b/>
      <sz val="11"/>
      <color rgb="FF0F243E"/>
      <name val="HARIKRISHNA"/>
      <charset val="134"/>
    </font>
    <font>
      <sz val="11"/>
      <color rgb="FF0F243E"/>
      <name val="Arial"/>
      <charset val="134"/>
    </font>
    <font>
      <sz val="12"/>
      <name val="Times New Roman"/>
      <charset val="134"/>
    </font>
    <font>
      <sz val="10"/>
      <name val="Times New Roman"/>
      <charset val="134"/>
    </font>
    <font>
      <sz val="16"/>
      <name val="Arial"/>
      <charset val="134"/>
    </font>
    <font>
      <sz val="10"/>
      <name val="Tahoma"/>
      <charset val="134"/>
    </font>
    <font>
      <sz val="10"/>
      <name val="Arial"/>
      <charset val="134"/>
    </font>
    <font>
      <sz val="10"/>
      <color rgb="FF808080"/>
      <name val="Arial"/>
      <charset val="134"/>
    </font>
    <font>
      <b/>
      <sz val="11"/>
      <name val="Tahoma"/>
      <charset val="134"/>
    </font>
    <font>
      <sz val="11"/>
      <color rgb="FFC0C0C0"/>
      <name val="Times New Roman"/>
      <charset val="134"/>
    </font>
    <font>
      <sz val="12"/>
      <color rgb="FFC0C0C0"/>
      <name val="Times New Roman"/>
      <charset val="134"/>
    </font>
    <font>
      <b/>
      <sz val="9"/>
      <name val="Times New Roman"/>
      <charset val="134"/>
    </font>
    <font>
      <b/>
      <sz val="11"/>
      <color rgb="FFC0C0C0"/>
      <name val="Times New Roman"/>
      <charset val="134"/>
    </font>
    <font>
      <sz val="10"/>
      <color rgb="FFFF0000"/>
      <name val="Arial"/>
      <charset val="134"/>
    </font>
    <font>
      <sz val="11"/>
      <color rgb="FF595959"/>
      <name val="Times New Roman"/>
      <charset val="134"/>
    </font>
    <font>
      <sz val="11"/>
      <color rgb="FFBFBFBF"/>
      <name val="Times New Roman"/>
      <charset val="134"/>
    </font>
    <font>
      <sz val="11"/>
      <color rgb="FF7F7F7F"/>
      <name val="Times New Roman"/>
      <charset val="134"/>
    </font>
    <font>
      <sz val="11"/>
      <color rgb="FF7F7F7F"/>
      <name val="Arial"/>
      <charset val="134"/>
    </font>
    <font>
      <sz val="11"/>
      <name val="Tahoma"/>
      <charset val="134"/>
    </font>
    <font>
      <sz val="11"/>
      <color rgb="FF808080"/>
      <name val="Arial"/>
      <charset val="134"/>
    </font>
    <font>
      <sz val="10"/>
      <color rgb="FF7F7F7F"/>
      <name val="Times New Roman"/>
      <charset val="134"/>
    </font>
    <font>
      <b/>
      <sz val="10"/>
      <color rgb="FFC0C0C0"/>
      <name val="Times New Roman"/>
      <charset val="134"/>
    </font>
    <font>
      <b/>
      <sz val="10"/>
      <name val="Arial"/>
      <charset val="134"/>
    </font>
    <font>
      <sz val="16"/>
      <color rgb="FFFF0000"/>
      <name val="Arial Black"/>
      <charset val="134"/>
    </font>
    <font>
      <b/>
      <sz val="14"/>
      <color rgb="FF0F243E"/>
      <name val="HARIKRISHNA"/>
      <charset val="134"/>
    </font>
    <font>
      <sz val="9"/>
      <name val="Arial"/>
      <charset val="134"/>
    </font>
    <font>
      <b/>
      <sz val="20"/>
      <color rgb="FF7030A0"/>
      <name val="Arial"/>
      <charset val="134"/>
    </font>
    <font>
      <b/>
      <i/>
      <sz val="16"/>
      <color rgb="FFFF0000"/>
      <name val="Arial"/>
      <charset val="134"/>
    </font>
    <font>
      <b/>
      <i/>
      <sz val="24"/>
      <color rgb="FF006600"/>
      <name val="Arial"/>
      <charset val="134"/>
    </font>
    <font>
      <b/>
      <sz val="12"/>
      <color rgb="FF993300"/>
      <name val="Times New Roman"/>
      <charset val="134"/>
    </font>
    <font>
      <b/>
      <sz val="12"/>
      <color rgb="FFFFCC00"/>
      <name val="Times New Roman"/>
      <charset val="134"/>
    </font>
    <font>
      <b/>
      <sz val="12"/>
      <color rgb="FF660066"/>
      <name val="Times New Roman"/>
      <charset val="134"/>
    </font>
    <font>
      <b/>
      <sz val="9"/>
      <color rgb="FFFFCC00"/>
      <name val="Engravers MT"/>
      <charset val="134"/>
    </font>
    <font>
      <b/>
      <sz val="11"/>
      <name val="Engravers MT"/>
      <charset val="134"/>
    </font>
    <font>
      <sz val="16"/>
      <color rgb="FFFFFF00"/>
      <name val="Arial"/>
      <charset val="134"/>
    </font>
    <font>
      <b/>
      <sz val="14"/>
      <color rgb="FFFF0000"/>
      <name val="Arial"/>
      <charset val="134"/>
    </font>
    <font>
      <b/>
      <sz val="14"/>
      <color rgb="FFFF0000"/>
      <name val="Times New Roman"/>
      <charset val="134"/>
    </font>
    <font>
      <sz val="11"/>
      <color rgb="FFFF0000"/>
      <name val="HARIKRISHNA"/>
      <charset val="134"/>
    </font>
    <font>
      <sz val="11"/>
      <color rgb="FFFF0000"/>
      <name val="Times New Roman"/>
      <charset val="134"/>
    </font>
    <font>
      <sz val="8"/>
      <color rgb="FFFF0000"/>
      <name val="Times New Roman"/>
      <charset val="134"/>
    </font>
    <font>
      <sz val="9"/>
      <color rgb="FFFF0000"/>
      <name val="HARIKRISHNA"/>
      <charset val="134"/>
    </font>
    <font>
      <b/>
      <sz val="9"/>
      <color rgb="FFFF0000"/>
      <name val="Times New Roman"/>
      <charset val="134"/>
    </font>
    <font>
      <b/>
      <sz val="12"/>
      <name val="Engravers MT"/>
      <charset val="134"/>
    </font>
    <font>
      <b/>
      <sz val="11"/>
      <color rgb="FFFF0000"/>
      <name val="HARIKRISHNA"/>
      <charset val="134"/>
    </font>
    <font>
      <sz val="11"/>
      <color rgb="FFFF0000"/>
      <name val="Open Sans"/>
      <charset val="134"/>
    </font>
    <font>
      <sz val="11"/>
      <color rgb="FFFF0000"/>
      <name val="Book Antiqua"/>
      <charset val="134"/>
    </font>
    <font>
      <b/>
      <sz val="8"/>
      <color rgb="FFFF0000"/>
      <name val="Times New Roman"/>
      <charset val="134"/>
    </font>
    <font>
      <sz val="24"/>
      <name val="Arial"/>
      <charset val="134"/>
    </font>
    <font>
      <sz val="12"/>
      <name val="Arial"/>
      <charset val="134"/>
    </font>
    <font>
      <sz val="12"/>
      <color rgb="FFFFFF00"/>
      <name val="Arial"/>
      <charset val="134"/>
    </font>
    <font>
      <b/>
      <sz val="12"/>
      <color rgb="FFFFFF00"/>
      <name val="Arial"/>
      <charset val="134"/>
    </font>
    <font>
      <b/>
      <sz val="16"/>
      <color rgb="FFFF0000"/>
      <name val="Arial"/>
      <charset val="134"/>
    </font>
    <font>
      <b/>
      <sz val="11"/>
      <color rgb="FFFF0000"/>
      <name val="Times New Roman"/>
      <charset val="134"/>
    </font>
    <font>
      <b/>
      <sz val="16"/>
      <color rgb="FFFF0000"/>
      <name val="Times New Roman"/>
      <charset val="134"/>
    </font>
    <font>
      <b/>
      <i/>
      <sz val="11"/>
      <color rgb="FFFF0000"/>
      <name val="Arial"/>
      <charset val="134"/>
    </font>
    <font>
      <b/>
      <i/>
      <sz val="11"/>
      <color rgb="FF17365D"/>
      <name val="Arial"/>
      <charset val="134"/>
    </font>
    <font>
      <sz val="14"/>
      <color rgb="FFFF0000"/>
      <name val="Arial"/>
      <charset val="134"/>
    </font>
    <font>
      <b/>
      <sz val="11"/>
      <color rgb="FF0000FF"/>
      <name val="Times New Roman"/>
      <charset val="134"/>
    </font>
    <font>
      <b/>
      <sz val="10"/>
      <color rgb="FF0000FF"/>
      <name val="Times New Roman"/>
      <charset val="134"/>
    </font>
    <font>
      <b/>
      <sz val="11"/>
      <color rgb="FF0F243E"/>
      <name val="Times New Roman"/>
      <family val="1"/>
    </font>
    <font>
      <b/>
      <sz val="10"/>
      <name val="Calibri"/>
      <family val="2"/>
      <scheme val="minor"/>
    </font>
    <font>
      <b/>
      <sz val="10"/>
      <color rgb="FF000000"/>
      <name val="Calibri"/>
      <family val="2"/>
      <scheme val="minor"/>
    </font>
    <font>
      <b/>
      <sz val="10"/>
      <name val="Times New Roman"/>
      <family val="1"/>
    </font>
    <font>
      <b/>
      <sz val="11"/>
      <name val="Times New Roman"/>
      <family val="1"/>
    </font>
    <font>
      <sz val="11"/>
      <name val="Calibri"/>
      <family val="2"/>
      <scheme val="minor"/>
    </font>
    <font>
      <sz val="11"/>
      <name val="Times New Roman"/>
      <family val="1"/>
    </font>
    <font>
      <sz val="10"/>
      <name val="Times New Roman"/>
      <family val="1"/>
    </font>
    <font>
      <b/>
      <sz val="14"/>
      <name val="Arial"/>
      <family val="2"/>
    </font>
    <font>
      <sz val="14"/>
      <name val="Calibri"/>
      <family val="2"/>
      <scheme val="minor"/>
    </font>
    <font>
      <sz val="14"/>
      <name val="Arial"/>
      <family val="2"/>
    </font>
    <font>
      <sz val="14"/>
      <color rgb="FF000000"/>
      <name val="Calibri"/>
      <family val="2"/>
      <scheme val="minor"/>
    </font>
    <font>
      <sz val="10"/>
      <name val="Calibri"/>
      <family val="2"/>
      <scheme val="minor"/>
    </font>
  </fonts>
  <fills count="22">
    <fill>
      <patternFill patternType="none"/>
    </fill>
    <fill>
      <patternFill patternType="gray125"/>
    </fill>
    <fill>
      <patternFill patternType="solid">
        <fgColor rgb="FFFFFF00"/>
        <bgColor rgb="FFFFFF00"/>
      </patternFill>
    </fill>
    <fill>
      <patternFill patternType="solid">
        <fgColor rgb="FF00CC00"/>
        <bgColor rgb="FF00CC00"/>
      </patternFill>
    </fill>
    <fill>
      <patternFill patternType="solid">
        <fgColor rgb="FFFF99FF"/>
        <bgColor rgb="FFFF99FF"/>
      </patternFill>
    </fill>
    <fill>
      <patternFill patternType="solid">
        <fgColor rgb="FFFABF8F"/>
        <bgColor rgb="FFFABF8F"/>
      </patternFill>
    </fill>
    <fill>
      <patternFill patternType="solid">
        <fgColor rgb="FFFFFFFF"/>
        <bgColor rgb="FFFFFFFF"/>
      </patternFill>
    </fill>
    <fill>
      <patternFill patternType="solid">
        <fgColor rgb="FFF2F2F2"/>
        <bgColor rgb="FFF2F2F2"/>
      </patternFill>
    </fill>
    <fill>
      <patternFill patternType="solid">
        <fgColor rgb="FF00B0F0"/>
        <bgColor rgb="FF00B0F0"/>
      </patternFill>
    </fill>
    <fill>
      <patternFill patternType="solid">
        <fgColor rgb="FFFFFF99"/>
        <bgColor rgb="FFFFFF99"/>
      </patternFill>
    </fill>
    <fill>
      <patternFill patternType="solid">
        <fgColor rgb="FFFF0000"/>
        <bgColor rgb="FFFF0000"/>
      </patternFill>
    </fill>
    <fill>
      <patternFill patternType="solid">
        <fgColor rgb="FFCCFF99"/>
        <bgColor rgb="FFCCFF99"/>
      </patternFill>
    </fill>
    <fill>
      <patternFill patternType="solid">
        <fgColor rgb="FFFFCC99"/>
        <bgColor rgb="FFFFCC99"/>
      </patternFill>
    </fill>
    <fill>
      <patternFill patternType="solid">
        <fgColor rgb="FFC4E759"/>
        <bgColor rgb="FFFF0000"/>
      </patternFill>
    </fill>
    <fill>
      <patternFill patternType="solid">
        <fgColor rgb="FF0000FF"/>
        <bgColor rgb="FF0000FF"/>
      </patternFill>
    </fill>
    <fill>
      <patternFill patternType="solid">
        <fgColor rgb="FFC4BD97"/>
        <bgColor rgb="FFC4BD97"/>
      </patternFill>
    </fill>
    <fill>
      <patternFill patternType="solid">
        <fgColor rgb="FF00FF00"/>
        <bgColor rgb="FF00FF00"/>
      </patternFill>
    </fill>
    <fill>
      <patternFill patternType="solid">
        <fgColor rgb="FFCCFFCC"/>
        <bgColor rgb="FFCCFFCC"/>
      </patternFill>
    </fill>
    <fill>
      <patternFill patternType="solid">
        <fgColor rgb="FFFF9900"/>
        <bgColor rgb="FFFF9900"/>
      </patternFill>
    </fill>
    <fill>
      <patternFill patternType="solid">
        <fgColor rgb="FFD1FAA0"/>
        <bgColor rgb="FFD1FAA0"/>
      </patternFill>
    </fill>
    <fill>
      <patternFill patternType="solid">
        <fgColor theme="6" tint="0.39997558519241921"/>
        <bgColor rgb="FFFF99FF"/>
      </patternFill>
    </fill>
    <fill>
      <patternFill patternType="solid">
        <fgColor theme="6" tint="0.39997558519241921"/>
        <bgColor indexed="64"/>
      </patternFill>
    </fill>
  </fills>
  <borders count="61">
    <border>
      <left/>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thin">
        <color rgb="FF000000"/>
      </bottom>
      <diagonal/>
    </border>
    <border>
      <left/>
      <right/>
      <top style="medium">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top/>
      <bottom/>
      <diagonal/>
    </border>
    <border>
      <left/>
      <right style="thin">
        <color rgb="FF000000"/>
      </right>
      <top/>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auto="1"/>
      </left>
      <right style="thin">
        <color auto="1"/>
      </right>
      <top style="thin">
        <color auto="1"/>
      </top>
      <bottom style="thin">
        <color auto="1"/>
      </bottom>
      <diagonal/>
    </border>
    <border>
      <left style="thin">
        <color rgb="FF000000"/>
      </left>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453">
    <xf numFmtId="0" fontId="0" fillId="0" borderId="0" xfId="0"/>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3" fillId="4" borderId="9" xfId="0" applyFont="1" applyFill="1" applyBorder="1" applyAlignment="1">
      <alignment horizontal="center" vertical="center" textRotation="90" wrapText="1"/>
    </xf>
    <xf numFmtId="0" fontId="4" fillId="4" borderId="9" xfId="0" applyFont="1" applyFill="1" applyBorder="1" applyAlignment="1">
      <alignment horizontal="center" vertical="center" textRotation="90" wrapText="1"/>
    </xf>
    <xf numFmtId="0" fontId="5" fillId="4" borderId="9" xfId="0" applyFont="1" applyFill="1" applyBorder="1" applyAlignment="1">
      <alignment horizontal="center" vertical="center"/>
    </xf>
    <xf numFmtId="0" fontId="4" fillId="4" borderId="9" xfId="0" applyFont="1" applyFill="1" applyBorder="1" applyAlignment="1">
      <alignment horizontal="center" vertical="center"/>
    </xf>
    <xf numFmtId="0" fontId="3" fillId="4" borderId="9" xfId="0" applyFont="1" applyFill="1" applyBorder="1" applyAlignment="1">
      <alignment horizontal="center" vertical="center"/>
    </xf>
    <xf numFmtId="0" fontId="6" fillId="4" borderId="9" xfId="0" applyFont="1" applyFill="1" applyBorder="1" applyAlignment="1">
      <alignment horizontal="center" vertical="center"/>
    </xf>
    <xf numFmtId="0" fontId="7" fillId="4" borderId="9" xfId="0" applyFont="1" applyFill="1" applyBorder="1" applyAlignment="1">
      <alignment horizontal="center" vertical="center"/>
    </xf>
    <xf numFmtId="0" fontId="9" fillId="0" borderId="0" xfId="0" applyFont="1" applyAlignment="1">
      <alignment horizontal="center" vertical="center" wrapText="1"/>
    </xf>
    <xf numFmtId="0" fontId="11" fillId="0" borderId="0" xfId="0" applyFont="1" applyAlignment="1">
      <alignment horizontal="center" vertical="center" wrapText="1"/>
    </xf>
    <xf numFmtId="0" fontId="13" fillId="6" borderId="16" xfId="0" applyFont="1" applyFill="1" applyBorder="1" applyAlignment="1">
      <alignment vertical="center"/>
    </xf>
    <xf numFmtId="0" fontId="11" fillId="6" borderId="15"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24" xfId="0" applyFont="1" applyFill="1" applyBorder="1" applyAlignment="1">
      <alignment horizontal="center" vertical="center"/>
    </xf>
    <xf numFmtId="0" fontId="11" fillId="6" borderId="25" xfId="0" applyFont="1" applyFill="1" applyBorder="1" applyAlignment="1">
      <alignment horizontal="center" vertical="center"/>
    </xf>
    <xf numFmtId="0" fontId="13" fillId="6" borderId="28" xfId="0" applyFont="1" applyFill="1" applyBorder="1" applyAlignment="1">
      <alignment horizontal="center" vertical="center"/>
    </xf>
    <xf numFmtId="0" fontId="11" fillId="6" borderId="29" xfId="0" applyFont="1" applyFill="1" applyBorder="1" applyAlignment="1">
      <alignment horizontal="center" vertical="center"/>
    </xf>
    <xf numFmtId="0" fontId="11" fillId="6" borderId="29" xfId="0" applyFont="1" applyFill="1" applyBorder="1" applyAlignment="1">
      <alignment horizontal="center" vertical="center" wrapText="1"/>
    </xf>
    <xf numFmtId="0" fontId="11" fillId="6" borderId="9" xfId="0" applyFont="1" applyFill="1" applyBorder="1" applyAlignment="1">
      <alignment horizontal="center" vertical="center"/>
    </xf>
    <xf numFmtId="0" fontId="17" fillId="4" borderId="2" xfId="0" applyFont="1" applyFill="1" applyBorder="1" applyAlignment="1">
      <alignment horizontal="center" vertical="center" wrapText="1"/>
    </xf>
    <xf numFmtId="0" fontId="17" fillId="4" borderId="2" xfId="0" applyFont="1" applyFill="1" applyBorder="1" applyAlignment="1">
      <alignment horizontal="center" vertical="center" textRotation="90" wrapText="1"/>
    </xf>
    <xf numFmtId="0" fontId="3" fillId="4" borderId="8" xfId="0" applyFont="1" applyFill="1" applyBorder="1" applyAlignment="1">
      <alignment horizontal="center" vertical="center" textRotation="90" wrapText="1"/>
    </xf>
    <xf numFmtId="0" fontId="9" fillId="0" borderId="0" xfId="0" applyFont="1" applyAlignment="1">
      <alignment horizontal="center" vertical="center"/>
    </xf>
    <xf numFmtId="0" fontId="13" fillId="6" borderId="26" xfId="0" applyFont="1" applyFill="1" applyBorder="1" applyAlignment="1">
      <alignment vertical="center"/>
    </xf>
    <xf numFmtId="1" fontId="13" fillId="6" borderId="26" xfId="0" applyNumberFormat="1" applyFont="1" applyFill="1" applyBorder="1" applyAlignment="1">
      <alignment vertical="center"/>
    </xf>
    <xf numFmtId="0" fontId="19" fillId="6" borderId="12" xfId="0" applyFont="1" applyFill="1" applyBorder="1" applyAlignment="1">
      <alignment horizontal="center" vertical="center"/>
    </xf>
    <xf numFmtId="0" fontId="19" fillId="6" borderId="12" xfId="0" applyFont="1" applyFill="1" applyBorder="1" applyAlignment="1">
      <alignment horizontal="right" vertical="center"/>
    </xf>
    <xf numFmtId="0" fontId="15" fillId="6" borderId="11" xfId="0" applyFont="1" applyFill="1" applyBorder="1" applyAlignment="1">
      <alignment horizontal="left" vertical="center" wrapText="1"/>
    </xf>
    <xf numFmtId="0" fontId="20" fillId="6" borderId="10" xfId="0" applyFont="1" applyFill="1" applyBorder="1" applyAlignment="1">
      <alignment vertical="center"/>
    </xf>
    <xf numFmtId="0" fontId="20" fillId="6" borderId="11" xfId="0" applyFont="1" applyFill="1" applyBorder="1" applyAlignment="1">
      <alignment vertical="center"/>
    </xf>
    <xf numFmtId="0" fontId="20" fillId="6" borderId="10" xfId="0" applyFont="1" applyFill="1" applyBorder="1" applyAlignment="1">
      <alignment horizontal="left" vertical="center"/>
    </xf>
    <xf numFmtId="0" fontId="20" fillId="6" borderId="11" xfId="0" applyFont="1" applyFill="1" applyBorder="1" applyAlignment="1">
      <alignment horizontal="left" vertical="center"/>
    </xf>
    <xf numFmtId="0" fontId="4" fillId="4" borderId="12" xfId="0" applyFont="1" applyFill="1" applyBorder="1" applyAlignment="1">
      <alignment horizontal="center" vertical="center"/>
    </xf>
    <xf numFmtId="164" fontId="19" fillId="0" borderId="9" xfId="0" applyNumberFormat="1" applyFont="1" applyBorder="1" applyAlignment="1">
      <alignment horizontal="center" vertical="center" wrapText="1"/>
    </xf>
    <xf numFmtId="0" fontId="21" fillId="0" borderId="0" xfId="0" applyFont="1" applyAlignment="1">
      <alignment horizontal="center" vertical="center"/>
    </xf>
    <xf numFmtId="0" fontId="13" fillId="6" borderId="35" xfId="0" applyFont="1" applyFill="1" applyBorder="1" applyAlignment="1">
      <alignment vertical="center"/>
    </xf>
    <xf numFmtId="0" fontId="11" fillId="6" borderId="0" xfId="0" applyFont="1" applyFill="1" applyAlignment="1">
      <alignment horizontal="center" vertical="center"/>
    </xf>
    <xf numFmtId="0" fontId="11" fillId="6" borderId="0" xfId="0" applyFont="1" applyFill="1" applyAlignment="1">
      <alignment horizontal="left" vertical="center"/>
    </xf>
    <xf numFmtId="0" fontId="11" fillId="6" borderId="0" xfId="0" applyFont="1" applyFill="1" applyAlignment="1">
      <alignment horizontal="right" vertical="center"/>
    </xf>
    <xf numFmtId="0" fontId="26" fillId="6" borderId="9"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9" fillId="6" borderId="9" xfId="0" applyFont="1" applyFill="1" applyBorder="1" applyAlignment="1">
      <alignment horizontal="right" vertical="center"/>
    </xf>
    <xf numFmtId="0" fontId="27" fillId="6" borderId="9" xfId="0" applyFont="1" applyFill="1" applyBorder="1" applyAlignment="1">
      <alignment vertical="center"/>
    </xf>
    <xf numFmtId="0" fontId="19" fillId="6" borderId="9" xfId="0" applyFont="1" applyFill="1" applyBorder="1" applyAlignment="1">
      <alignment vertical="center"/>
    </xf>
    <xf numFmtId="0" fontId="19" fillId="6" borderId="9" xfId="0" applyFont="1" applyFill="1" applyBorder="1" applyAlignment="1">
      <alignment horizontal="center" vertical="center"/>
    </xf>
    <xf numFmtId="0" fontId="19" fillId="6" borderId="9" xfId="0" applyFont="1" applyFill="1" applyBorder="1" applyAlignment="1">
      <alignment horizontal="right" vertical="center" wrapText="1"/>
    </xf>
    <xf numFmtId="0" fontId="27" fillId="6" borderId="9" xfId="0" applyFont="1" applyFill="1" applyBorder="1" applyAlignment="1">
      <alignment vertical="center" wrapText="1"/>
    </xf>
    <xf numFmtId="0" fontId="19" fillId="6" borderId="9" xfId="0" applyFont="1" applyFill="1" applyBorder="1" applyAlignment="1">
      <alignment vertical="center" wrapText="1"/>
    </xf>
    <xf numFmtId="0" fontId="19" fillId="6" borderId="11" xfId="0" applyFont="1" applyFill="1" applyBorder="1" applyAlignment="1">
      <alignment horizontal="center" vertical="center"/>
    </xf>
    <xf numFmtId="0" fontId="19" fillId="6" borderId="10" xfId="0" applyFont="1" applyFill="1" applyBorder="1" applyAlignment="1">
      <alignment horizontal="center" vertical="center"/>
    </xf>
    <xf numFmtId="0" fontId="13" fillId="6" borderId="9" xfId="0" applyFont="1" applyFill="1" applyBorder="1" applyAlignment="1">
      <alignment vertical="center" wrapText="1"/>
    </xf>
    <xf numFmtId="0" fontId="29" fillId="6" borderId="9" xfId="0" applyFont="1" applyFill="1" applyBorder="1" applyAlignment="1">
      <alignment vertical="center" wrapText="1"/>
    </xf>
    <xf numFmtId="0" fontId="13" fillId="6" borderId="11"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20" fillId="6" borderId="9" xfId="0" applyFont="1" applyFill="1" applyBorder="1" applyAlignment="1">
      <alignment horizontal="center" vertical="center" wrapText="1"/>
    </xf>
    <xf numFmtId="14" fontId="20" fillId="6" borderId="9" xfId="0" applyNumberFormat="1" applyFont="1" applyFill="1" applyBorder="1" applyAlignment="1">
      <alignment horizontal="center" vertical="center" wrapText="1"/>
    </xf>
    <xf numFmtId="0" fontId="19" fillId="6" borderId="10" xfId="0" applyFont="1" applyFill="1" applyBorder="1" applyAlignment="1">
      <alignment horizontal="right" vertical="center"/>
    </xf>
    <xf numFmtId="10" fontId="24" fillId="6" borderId="11" xfId="0" applyNumberFormat="1" applyFont="1" applyFill="1" applyBorder="1" applyAlignment="1">
      <alignment horizontal="center" vertical="center"/>
    </xf>
    <xf numFmtId="0" fontId="19" fillId="6" borderId="34" xfId="0" applyFont="1" applyFill="1" applyBorder="1" applyAlignment="1">
      <alignment horizontal="right" vertical="center"/>
    </xf>
    <xf numFmtId="0" fontId="30" fillId="0" borderId="0" xfId="0" applyFont="1" applyAlignment="1">
      <alignment horizontal="center" vertical="center"/>
    </xf>
    <xf numFmtId="0" fontId="11" fillId="6" borderId="0" xfId="0" applyFont="1" applyFill="1" applyAlignment="1">
      <alignment horizontal="center" vertical="center" wrapText="1"/>
    </xf>
    <xf numFmtId="0" fontId="11" fillId="6" borderId="0" xfId="0" applyFont="1" applyFill="1" applyAlignment="1">
      <alignment vertical="center" wrapText="1"/>
    </xf>
    <xf numFmtId="0" fontId="15" fillId="6" borderId="0" xfId="0" applyFont="1" applyFill="1" applyAlignment="1">
      <alignment vertical="center"/>
    </xf>
    <xf numFmtId="0" fontId="15" fillId="6" borderId="0" xfId="0" applyFont="1" applyFill="1" applyAlignment="1">
      <alignment horizontal="center" vertical="center"/>
    </xf>
    <xf numFmtId="0" fontId="11" fillId="6" borderId="0" xfId="0" applyFont="1" applyFill="1" applyAlignment="1">
      <alignment vertical="center"/>
    </xf>
    <xf numFmtId="0" fontId="13" fillId="6" borderId="0" xfId="0" applyFont="1" applyFill="1" applyAlignment="1">
      <alignment horizontal="left" vertical="center"/>
    </xf>
    <xf numFmtId="0" fontId="1" fillId="3" borderId="1"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textRotation="90" wrapText="1"/>
      <protection locked="0"/>
    </xf>
    <xf numFmtId="0" fontId="4" fillId="4" borderId="9" xfId="0" applyFont="1" applyFill="1" applyBorder="1" applyAlignment="1" applyProtection="1">
      <alignment horizontal="center" vertical="center" textRotation="90" wrapText="1"/>
      <protection locked="0"/>
    </xf>
    <xf numFmtId="0" fontId="5" fillId="4" borderId="9"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31" fillId="6" borderId="12" xfId="0" applyFont="1" applyFill="1" applyBorder="1" applyAlignment="1">
      <alignment vertical="center"/>
    </xf>
    <xf numFmtId="0" fontId="32" fillId="6" borderId="10" xfId="0" applyFont="1" applyFill="1" applyBorder="1" applyAlignment="1">
      <alignment vertical="center"/>
    </xf>
    <xf numFmtId="0" fontId="11" fillId="6" borderId="10" xfId="0" applyFont="1" applyFill="1" applyBorder="1" applyAlignment="1">
      <alignment vertical="center"/>
    </xf>
    <xf numFmtId="0" fontId="17" fillId="4" borderId="2" xfId="0" applyFont="1" applyFill="1" applyBorder="1" applyAlignment="1" applyProtection="1">
      <alignment horizontal="center" vertical="center" textRotation="90" wrapText="1"/>
      <protection locked="0"/>
    </xf>
    <xf numFmtId="0" fontId="3" fillId="4" borderId="8" xfId="0" applyFont="1" applyFill="1" applyBorder="1" applyAlignment="1" applyProtection="1">
      <alignment horizontal="center" vertical="center" textRotation="90" wrapText="1"/>
      <protection locked="0"/>
    </xf>
    <xf numFmtId="0" fontId="9" fillId="0" borderId="0" xfId="0" applyFont="1" applyAlignment="1" applyProtection="1">
      <alignment horizontal="center" vertical="center"/>
      <protection locked="0"/>
    </xf>
    <xf numFmtId="1" fontId="13" fillId="6" borderId="26" xfId="0" applyNumberFormat="1" applyFont="1" applyFill="1" applyBorder="1" applyAlignment="1" applyProtection="1">
      <alignment vertical="center"/>
      <protection locked="0"/>
    </xf>
    <xf numFmtId="0" fontId="11" fillId="6" borderId="11" xfId="0" applyFont="1" applyFill="1" applyBorder="1" applyAlignment="1">
      <alignment vertical="center"/>
    </xf>
    <xf numFmtId="0" fontId="11" fillId="6" borderId="12" xfId="0" applyFont="1" applyFill="1" applyBorder="1" applyAlignment="1">
      <alignment vertical="center"/>
    </xf>
    <xf numFmtId="0" fontId="33" fillId="6" borderId="10" xfId="0" applyFont="1" applyFill="1" applyBorder="1" applyAlignment="1">
      <alignment vertical="center"/>
    </xf>
    <xf numFmtId="0" fontId="9" fillId="6" borderId="12" xfId="0" applyFont="1" applyFill="1" applyBorder="1" applyAlignment="1">
      <alignment vertical="center"/>
    </xf>
    <xf numFmtId="0" fontId="34" fillId="6" borderId="10" xfId="0" applyFont="1" applyFill="1" applyBorder="1" applyAlignment="1">
      <alignment vertical="center"/>
    </xf>
    <xf numFmtId="0" fontId="13" fillId="6" borderId="10" xfId="0" applyFont="1" applyFill="1" applyBorder="1" applyAlignment="1">
      <alignment vertical="center"/>
    </xf>
    <xf numFmtId="0" fontId="11" fillId="6" borderId="36" xfId="0" applyFont="1" applyFill="1" applyBorder="1" applyAlignment="1">
      <alignment horizontal="center" vertical="center"/>
    </xf>
    <xf numFmtId="0" fontId="13" fillId="6" borderId="18" xfId="0" applyFont="1" applyFill="1" applyBorder="1" applyAlignment="1">
      <alignment vertical="center"/>
    </xf>
    <xf numFmtId="0" fontId="33" fillId="6" borderId="11" xfId="0" applyFont="1" applyFill="1" applyBorder="1" applyAlignment="1">
      <alignment vertical="center"/>
    </xf>
    <xf numFmtId="0" fontId="34" fillId="6" borderId="11" xfId="0" applyFont="1" applyFill="1" applyBorder="1" applyAlignment="1">
      <alignment vertical="center"/>
    </xf>
    <xf numFmtId="10" fontId="36" fillId="6" borderId="11" xfId="0" applyNumberFormat="1" applyFont="1" applyFill="1" applyBorder="1" applyAlignment="1">
      <alignment horizontal="center" vertical="center"/>
    </xf>
    <xf numFmtId="14" fontId="11" fillId="6" borderId="9" xfId="0" applyNumberFormat="1" applyFont="1" applyFill="1" applyBorder="1" applyAlignment="1">
      <alignment horizontal="center" vertical="center" wrapText="1"/>
    </xf>
    <xf numFmtId="0" fontId="37" fillId="6" borderId="12" xfId="0" applyFont="1" applyFill="1" applyBorder="1" applyAlignment="1">
      <alignment horizontal="left" vertical="center"/>
    </xf>
    <xf numFmtId="0" fontId="38" fillId="6" borderId="9"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33" fillId="6" borderId="9" xfId="0" applyFont="1" applyFill="1" applyBorder="1" applyAlignment="1">
      <alignment horizontal="center" vertical="center" wrapText="1"/>
    </xf>
    <xf numFmtId="14" fontId="33" fillId="6" borderId="9" xfId="0" applyNumberFormat="1" applyFont="1" applyFill="1" applyBorder="1" applyAlignment="1">
      <alignment horizontal="center" vertical="center" wrapText="1"/>
    </xf>
    <xf numFmtId="0" fontId="39" fillId="0" borderId="0" xfId="0" applyFont="1" applyAlignment="1">
      <alignment horizontal="center" vertical="center"/>
    </xf>
    <xf numFmtId="0" fontId="3" fillId="4"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3" fillId="4" borderId="29" xfId="0" applyFont="1" applyFill="1" applyBorder="1" applyAlignment="1">
      <alignment horizontal="center" vertical="center"/>
    </xf>
    <xf numFmtId="164" fontId="4" fillId="4" borderId="9" xfId="0" applyNumberFormat="1" applyFont="1" applyFill="1" applyBorder="1" applyAlignment="1">
      <alignment horizontal="center" vertical="center"/>
    </xf>
    <xf numFmtId="0" fontId="3" fillId="4" borderId="8" xfId="0" applyFont="1" applyFill="1" applyBorder="1" applyAlignment="1">
      <alignment horizontal="center" vertical="center" wrapText="1"/>
    </xf>
    <xf numFmtId="0" fontId="6" fillId="4" borderId="45" xfId="0" applyFont="1" applyFill="1" applyBorder="1" applyAlignment="1">
      <alignment horizontal="center" vertical="center"/>
    </xf>
    <xf numFmtId="0" fontId="0" fillId="0" borderId="0" xfId="0" applyProtection="1">
      <protection hidden="1"/>
    </xf>
    <xf numFmtId="0" fontId="42" fillId="2" borderId="0" xfId="0" applyFont="1" applyFill="1" applyProtection="1">
      <protection hidden="1"/>
    </xf>
    <xf numFmtId="0" fontId="42" fillId="10" borderId="0" xfId="0" applyFont="1" applyFill="1" applyProtection="1">
      <protection hidden="1"/>
    </xf>
    <xf numFmtId="0" fontId="8" fillId="0" borderId="9"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47" fillId="10" borderId="9" xfId="0" applyFont="1" applyFill="1" applyBorder="1" applyProtection="1">
      <protection hidden="1"/>
    </xf>
    <xf numFmtId="0" fontId="49" fillId="10" borderId="0" xfId="0" applyFont="1" applyFill="1" applyAlignment="1" applyProtection="1">
      <alignment horizontal="center" vertical="center" wrapText="1"/>
      <protection hidden="1"/>
    </xf>
    <xf numFmtId="0" fontId="52" fillId="15" borderId="11" xfId="0" applyFont="1" applyFill="1" applyBorder="1" applyAlignment="1" applyProtection="1">
      <alignment horizontal="center" vertical="center"/>
      <protection hidden="1"/>
    </xf>
    <xf numFmtId="0" fontId="52" fillId="15" borderId="0" xfId="0" applyFont="1" applyFill="1" applyAlignment="1" applyProtection="1">
      <alignment horizontal="center" vertical="center"/>
      <protection hidden="1"/>
    </xf>
    <xf numFmtId="0" fontId="53" fillId="15" borderId="9" xfId="0" applyFont="1" applyFill="1" applyBorder="1" applyAlignment="1" applyProtection="1">
      <alignment horizontal="center" vertical="center"/>
      <protection hidden="1"/>
    </xf>
    <xf numFmtId="0" fontId="13" fillId="16" borderId="11" xfId="0" applyFont="1" applyFill="1" applyBorder="1" applyAlignment="1" applyProtection="1">
      <alignment vertical="center"/>
      <protection hidden="1"/>
    </xf>
    <xf numFmtId="9" fontId="13" fillId="0" borderId="9" xfId="0" applyNumberFormat="1" applyFont="1" applyBorder="1" applyAlignment="1" applyProtection="1">
      <alignment horizontal="center" vertical="center"/>
      <protection locked="0"/>
    </xf>
    <xf numFmtId="0" fontId="42" fillId="8" borderId="16" xfId="0" applyFont="1" applyFill="1" applyBorder="1" applyProtection="1">
      <protection hidden="1"/>
    </xf>
    <xf numFmtId="0" fontId="42" fillId="0" borderId="0" xfId="0" applyFont="1" applyProtection="1">
      <protection hidden="1"/>
    </xf>
    <xf numFmtId="0" fontId="54" fillId="9" borderId="3" xfId="0" applyFont="1" applyFill="1" applyBorder="1" applyAlignment="1" applyProtection="1">
      <alignment horizontal="center" vertical="center" wrapText="1"/>
      <protection hidden="1"/>
    </xf>
    <xf numFmtId="0" fontId="54" fillId="9" borderId="6" xfId="0" applyFont="1" applyFill="1" applyBorder="1" applyAlignment="1" applyProtection="1">
      <alignment horizontal="center" vertical="center" wrapText="1"/>
      <protection hidden="1"/>
    </xf>
    <xf numFmtId="0" fontId="54" fillId="9" borderId="9" xfId="0" applyFont="1" applyFill="1" applyBorder="1" applyAlignment="1" applyProtection="1">
      <alignment horizontal="center" vertical="center" wrapText="1"/>
      <protection hidden="1"/>
    </xf>
    <xf numFmtId="0" fontId="54" fillId="9" borderId="9" xfId="0" applyFont="1" applyFill="1" applyBorder="1" applyAlignment="1" applyProtection="1">
      <alignment horizontal="center" vertical="center"/>
      <protection hidden="1"/>
    </xf>
    <xf numFmtId="0" fontId="55" fillId="9" borderId="9" xfId="0" applyFont="1" applyFill="1" applyBorder="1" applyAlignment="1" applyProtection="1">
      <alignment horizontal="center" vertical="center"/>
      <protection hidden="1"/>
    </xf>
    <xf numFmtId="0" fontId="56" fillId="9" borderId="9" xfId="0" applyFont="1" applyFill="1" applyBorder="1" applyAlignment="1" applyProtection="1">
      <alignment horizontal="center" vertical="center"/>
      <protection hidden="1"/>
    </xf>
    <xf numFmtId="165" fontId="54" fillId="9" borderId="9" xfId="0" applyNumberFormat="1" applyFont="1" applyFill="1" applyBorder="1" applyAlignment="1" applyProtection="1">
      <alignment horizontal="center" vertical="center"/>
      <protection hidden="1"/>
    </xf>
    <xf numFmtId="0" fontId="57" fillId="9" borderId="9" xfId="0" applyFont="1" applyFill="1" applyBorder="1" applyAlignment="1" applyProtection="1">
      <alignment horizontal="center" vertical="center"/>
      <protection hidden="1"/>
    </xf>
    <xf numFmtId="0" fontId="58" fillId="9" borderId="9" xfId="0" applyFont="1" applyFill="1" applyBorder="1" applyAlignment="1" applyProtection="1">
      <alignment horizontal="center" vertical="center"/>
      <protection hidden="1"/>
    </xf>
    <xf numFmtId="0" fontId="46" fillId="11" borderId="9" xfId="0" applyFont="1" applyFill="1" applyBorder="1" applyAlignment="1" applyProtection="1">
      <alignment horizontal="center" vertical="center" wrapText="1"/>
      <protection hidden="1"/>
    </xf>
    <xf numFmtId="0" fontId="48" fillId="12" borderId="9" xfId="0" applyFont="1" applyFill="1" applyBorder="1" applyAlignment="1" applyProtection="1">
      <alignment horizontal="left" vertical="center" wrapText="1"/>
      <protection hidden="1"/>
    </xf>
    <xf numFmtId="0" fontId="46" fillId="11" borderId="9" xfId="0" applyFont="1" applyFill="1" applyBorder="1" applyAlignment="1" applyProtection="1">
      <alignment horizontal="center" vertical="center"/>
      <protection hidden="1"/>
    </xf>
    <xf numFmtId="0" fontId="42" fillId="19" borderId="0" xfId="0" applyFont="1" applyFill="1" applyAlignment="1" applyProtection="1">
      <alignment horizontal="center" vertical="center"/>
      <protection hidden="1"/>
    </xf>
    <xf numFmtId="0" fontId="60" fillId="9" borderId="2" xfId="0" applyFont="1" applyFill="1" applyBorder="1" applyAlignment="1" applyProtection="1">
      <alignment horizontal="center" vertical="center" wrapText="1"/>
      <protection hidden="1"/>
    </xf>
    <xf numFmtId="0" fontId="60" fillId="9" borderId="12" xfId="0" applyFont="1" applyFill="1" applyBorder="1" applyAlignment="1" applyProtection="1">
      <alignment horizontal="center" vertical="center" wrapText="1"/>
      <protection hidden="1"/>
    </xf>
    <xf numFmtId="0" fontId="55" fillId="9" borderId="9" xfId="0" applyFont="1" applyFill="1" applyBorder="1" applyAlignment="1" applyProtection="1">
      <alignment horizontal="center" vertical="center" wrapText="1"/>
      <protection hidden="1"/>
    </xf>
    <xf numFmtId="0" fontId="62" fillId="9" borderId="9" xfId="0" applyFont="1" applyFill="1" applyBorder="1" applyAlignment="1" applyProtection="1">
      <alignment horizontal="center" vertical="center" wrapText="1"/>
      <protection hidden="1"/>
    </xf>
    <xf numFmtId="0" fontId="4" fillId="9" borderId="9" xfId="0" applyFont="1" applyFill="1" applyBorder="1" applyAlignment="1" applyProtection="1">
      <alignment horizontal="center" vertical="center"/>
      <protection hidden="1"/>
    </xf>
    <xf numFmtId="0" fontId="63" fillId="9" borderId="9" xfId="0" applyFont="1" applyFill="1" applyBorder="1" applyAlignment="1" applyProtection="1">
      <alignment horizontal="center" vertical="center"/>
      <protection hidden="1"/>
    </xf>
    <xf numFmtId="0" fontId="30" fillId="9" borderId="9" xfId="0" applyFont="1" applyFill="1" applyBorder="1" applyAlignment="1" applyProtection="1">
      <alignment horizontal="center" vertical="center"/>
      <protection hidden="1"/>
    </xf>
    <xf numFmtId="0" fontId="64" fillId="2" borderId="0" xfId="0" applyFont="1" applyFill="1" applyAlignment="1" applyProtection="1">
      <alignment horizontal="center"/>
      <protection hidden="1"/>
    </xf>
    <xf numFmtId="0" fontId="65" fillId="10" borderId="9" xfId="0" applyFont="1" applyFill="1" applyBorder="1" applyProtection="1">
      <protection hidden="1"/>
    </xf>
    <xf numFmtId="0" fontId="67" fillId="14" borderId="28" xfId="0" applyFont="1" applyFill="1" applyBorder="1" applyAlignment="1" applyProtection="1">
      <alignment horizontal="center" vertical="center" wrapText="1"/>
      <protection hidden="1"/>
    </xf>
    <xf numFmtId="0" fontId="67" fillId="14" borderId="13" xfId="0" applyFont="1" applyFill="1" applyBorder="1" applyAlignment="1" applyProtection="1">
      <alignment horizontal="center" vertical="center"/>
      <protection hidden="1"/>
    </xf>
    <xf numFmtId="0" fontId="68" fillId="0" borderId="29" xfId="0" applyFont="1" applyBorder="1" applyAlignment="1" applyProtection="1">
      <alignment horizontal="center"/>
      <protection locked="0"/>
    </xf>
    <xf numFmtId="0" fontId="13" fillId="16" borderId="10" xfId="0" applyFont="1" applyFill="1" applyBorder="1" applyAlignment="1" applyProtection="1">
      <alignment horizontal="center" vertical="center"/>
      <protection hidden="1"/>
    </xf>
    <xf numFmtId="0" fontId="8" fillId="0" borderId="27" xfId="0" applyFont="1" applyBorder="1" applyAlignment="1" applyProtection="1">
      <alignment horizontal="center" vertical="center"/>
      <protection locked="0"/>
    </xf>
    <xf numFmtId="0" fontId="53" fillId="9" borderId="6" xfId="0" applyFont="1" applyFill="1" applyBorder="1" applyAlignment="1" applyProtection="1">
      <alignment horizontal="center" vertical="center"/>
      <protection hidden="1"/>
    </xf>
    <xf numFmtId="0" fontId="53" fillId="9" borderId="12" xfId="0" applyFont="1" applyFill="1" applyBorder="1" applyAlignment="1" applyProtection="1">
      <alignment horizontal="center" vertical="center"/>
      <protection hidden="1"/>
    </xf>
    <xf numFmtId="0" fontId="68" fillId="0" borderId="40" xfId="0" applyFont="1" applyBorder="1" applyAlignment="1" applyProtection="1">
      <alignment horizontal="center"/>
      <protection locked="0"/>
    </xf>
    <xf numFmtId="0" fontId="13" fillId="16" borderId="26" xfId="0" applyFont="1" applyFill="1" applyBorder="1" applyAlignment="1" applyProtection="1">
      <alignment horizontal="center" vertical="center"/>
      <protection hidden="1"/>
    </xf>
    <xf numFmtId="0" fontId="42" fillId="19" borderId="55" xfId="0" applyFont="1" applyFill="1" applyBorder="1" applyAlignment="1" applyProtection="1">
      <alignment horizontal="center" vertical="center"/>
      <protection hidden="1"/>
    </xf>
    <xf numFmtId="0" fontId="42" fillId="8" borderId="30" xfId="0" applyFont="1" applyFill="1" applyBorder="1" applyProtection="1">
      <protection hidden="1"/>
    </xf>
    <xf numFmtId="164" fontId="55" fillId="0" borderId="0" xfId="0" applyNumberFormat="1" applyFont="1" applyAlignment="1" applyProtection="1">
      <alignment horizontal="right" vertical="center" wrapText="1"/>
      <protection hidden="1"/>
    </xf>
    <xf numFmtId="0" fontId="69" fillId="9" borderId="9" xfId="0" applyFont="1" applyFill="1" applyBorder="1" applyAlignment="1" applyProtection="1">
      <alignment horizontal="center" vertical="center"/>
      <protection hidden="1"/>
    </xf>
    <xf numFmtId="164" fontId="55" fillId="9" borderId="9" xfId="0" applyNumberFormat="1" applyFont="1" applyFill="1" applyBorder="1" applyAlignment="1" applyProtection="1">
      <alignment horizontal="right" vertical="center" wrapText="1"/>
      <protection hidden="1"/>
    </xf>
    <xf numFmtId="0" fontId="65" fillId="0" borderId="0" xfId="0" applyFont="1" applyAlignment="1" applyProtection="1">
      <alignment horizontal="center"/>
      <protection hidden="1"/>
    </xf>
    <xf numFmtId="0" fontId="52" fillId="0" borderId="9" xfId="0" applyFont="1" applyBorder="1" applyProtection="1">
      <protection hidden="1"/>
    </xf>
    <xf numFmtId="0" fontId="73" fillId="0" borderId="9" xfId="0" applyFont="1" applyBorder="1" applyProtection="1">
      <protection hidden="1"/>
    </xf>
    <xf numFmtId="0" fontId="41" fillId="20" borderId="40" xfId="0" applyFont="1" applyFill="1" applyBorder="1" applyAlignment="1">
      <alignment horizontal="center" vertical="center"/>
    </xf>
    <xf numFmtId="0" fontId="76" fillId="20" borderId="41" xfId="0" applyFont="1" applyFill="1" applyBorder="1" applyAlignment="1">
      <alignment horizontal="center" vertical="center"/>
    </xf>
    <xf numFmtId="164" fontId="76" fillId="20" borderId="41" xfId="0" applyNumberFormat="1" applyFont="1" applyFill="1" applyBorder="1" applyAlignment="1">
      <alignment horizontal="center" vertical="center"/>
    </xf>
    <xf numFmtId="0" fontId="76" fillId="20" borderId="47" xfId="0" applyFont="1" applyFill="1" applyBorder="1" applyAlignment="1">
      <alignment horizontal="center" vertical="center"/>
    </xf>
    <xf numFmtId="0" fontId="78" fillId="0" borderId="0" xfId="0" applyFont="1"/>
    <xf numFmtId="0" fontId="86" fillId="0" borderId="0" xfId="0" applyFont="1" applyAlignment="1">
      <alignment horizontal="center" vertical="center"/>
    </xf>
    <xf numFmtId="0" fontId="87" fillId="0" borderId="0" xfId="0" applyFont="1"/>
    <xf numFmtId="0" fontId="42" fillId="8" borderId="15" xfId="0" applyFont="1" applyFill="1" applyBorder="1" applyAlignment="1" applyProtection="1">
      <alignment horizontal="center"/>
      <protection hidden="1"/>
    </xf>
    <xf numFmtId="0" fontId="2" fillId="0" borderId="16" xfId="0" applyFont="1" applyBorder="1" applyProtection="1">
      <protection hidden="1"/>
    </xf>
    <xf numFmtId="0" fontId="2" fillId="0" borderId="30" xfId="0" applyFont="1" applyBorder="1" applyProtection="1">
      <protection hidden="1"/>
    </xf>
    <xf numFmtId="0" fontId="43" fillId="9" borderId="0" xfId="0" applyFont="1" applyFill="1" applyAlignment="1" applyProtection="1">
      <alignment horizontal="center"/>
      <protection hidden="1"/>
    </xf>
    <xf numFmtId="0" fontId="2" fillId="0" borderId="0" xfId="0" applyFont="1" applyProtection="1">
      <protection hidden="1"/>
    </xf>
    <xf numFmtId="0" fontId="64" fillId="2" borderId="0" xfId="0" applyFont="1" applyFill="1" applyAlignment="1" applyProtection="1">
      <alignment horizontal="center"/>
      <protection hidden="1"/>
    </xf>
    <xf numFmtId="0" fontId="44" fillId="9" borderId="0" xfId="0" applyFont="1" applyFill="1" applyAlignment="1" applyProtection="1">
      <alignment horizontal="center"/>
      <protection hidden="1"/>
    </xf>
    <xf numFmtId="0" fontId="45" fillId="9" borderId="0" xfId="0" applyFont="1" applyFill="1" applyAlignment="1" applyProtection="1">
      <alignment horizontal="center"/>
      <protection hidden="1"/>
    </xf>
    <xf numFmtId="0" fontId="46" fillId="11" borderId="12" xfId="0" applyFont="1" applyFill="1" applyBorder="1" applyAlignment="1" applyProtection="1">
      <alignment horizontal="center" vertical="center" wrapText="1"/>
      <protection hidden="1"/>
    </xf>
    <xf numFmtId="0" fontId="2" fillId="0" borderId="11" xfId="0" applyFont="1" applyBorder="1" applyProtection="1">
      <protection hidden="1"/>
    </xf>
    <xf numFmtId="0" fontId="8" fillId="0" borderId="12" xfId="0" applyFont="1" applyBorder="1" applyAlignment="1" applyProtection="1">
      <alignment horizontal="center" vertical="center"/>
      <protection locked="0"/>
    </xf>
    <xf numFmtId="0" fontId="2" fillId="0" borderId="11" xfId="0" applyFont="1" applyBorder="1" applyProtection="1">
      <protection locked="0"/>
    </xf>
    <xf numFmtId="0" fontId="47" fillId="10" borderId="12" xfId="0" applyFont="1" applyFill="1" applyBorder="1" applyAlignment="1" applyProtection="1">
      <alignment horizontal="center"/>
      <protection hidden="1"/>
    </xf>
    <xf numFmtId="0" fontId="2" fillId="0" borderId="10" xfId="0" applyFont="1" applyBorder="1" applyProtection="1">
      <protection hidden="1"/>
    </xf>
    <xf numFmtId="0" fontId="48" fillId="0" borderId="10" xfId="0" applyFont="1" applyBorder="1" applyAlignment="1" applyProtection="1">
      <alignment horizontal="center" vertical="center" wrapText="1"/>
      <protection locked="0"/>
    </xf>
    <xf numFmtId="0" fontId="2" fillId="0" borderId="10" xfId="0" applyFont="1" applyBorder="1" applyProtection="1">
      <protection locked="0"/>
    </xf>
    <xf numFmtId="0" fontId="48" fillId="11" borderId="12" xfId="0" applyFont="1" applyFill="1" applyBorder="1" applyAlignment="1" applyProtection="1">
      <alignment horizontal="center" vertical="center" wrapText="1"/>
      <protection hidden="1"/>
    </xf>
    <xf numFmtId="0" fontId="46" fillId="11" borderId="12" xfId="0" applyFont="1" applyFill="1" applyBorder="1" applyAlignment="1" applyProtection="1">
      <alignment horizontal="center" vertical="center"/>
      <protection hidden="1"/>
    </xf>
    <xf numFmtId="0" fontId="48" fillId="0" borderId="12" xfId="0" applyFont="1" applyBorder="1" applyAlignment="1" applyProtection="1">
      <alignment horizontal="center" vertical="center" wrapText="1"/>
      <protection locked="0"/>
    </xf>
    <xf numFmtId="0" fontId="42" fillId="8" borderId="48" xfId="0" applyFont="1" applyFill="1" applyBorder="1" applyAlignment="1" applyProtection="1">
      <alignment horizontal="center"/>
      <protection hidden="1"/>
    </xf>
    <xf numFmtId="0" fontId="2" fillId="0" borderId="49" xfId="0" applyFont="1" applyBorder="1" applyProtection="1">
      <protection hidden="1"/>
    </xf>
    <xf numFmtId="0" fontId="2" fillId="0" borderId="53" xfId="0" applyFont="1" applyBorder="1" applyProtection="1">
      <protection hidden="1"/>
    </xf>
    <xf numFmtId="0" fontId="70" fillId="9" borderId="42" xfId="0" applyFont="1" applyFill="1" applyBorder="1" applyAlignment="1" applyProtection="1">
      <alignment horizontal="center" vertical="center"/>
      <protection hidden="1"/>
    </xf>
    <xf numFmtId="0" fontId="2" fillId="0" borderId="54" xfId="0" applyFont="1" applyBorder="1" applyProtection="1">
      <protection hidden="1"/>
    </xf>
    <xf numFmtId="0" fontId="46" fillId="11" borderId="10" xfId="0" applyFont="1" applyFill="1" applyBorder="1" applyAlignment="1" applyProtection="1">
      <alignment horizontal="center" vertical="center" wrapText="1"/>
      <protection hidden="1"/>
    </xf>
    <xf numFmtId="0" fontId="48" fillId="0" borderId="12" xfId="0" applyFont="1" applyBorder="1" applyAlignment="1" applyProtection="1">
      <alignment horizontal="left" vertical="center" wrapText="1"/>
      <protection locked="0"/>
    </xf>
    <xf numFmtId="0" fontId="48" fillId="0" borderId="12" xfId="0" applyFont="1" applyBorder="1" applyAlignment="1" applyProtection="1">
      <alignment horizontal="center" vertical="center"/>
      <protection locked="0"/>
    </xf>
    <xf numFmtId="0" fontId="48" fillId="0" borderId="10" xfId="0" applyFont="1" applyBorder="1" applyAlignment="1" applyProtection="1">
      <alignment horizontal="left" vertical="center" wrapText="1"/>
      <protection locked="0"/>
    </xf>
    <xf numFmtId="0" fontId="48" fillId="12" borderId="12" xfId="0" applyFont="1" applyFill="1" applyBorder="1" applyAlignment="1" applyProtection="1">
      <alignment horizontal="center" vertical="center" wrapText="1"/>
      <protection hidden="1"/>
    </xf>
    <xf numFmtId="14" fontId="48" fillId="0" borderId="12" xfId="0" applyNumberFormat="1" applyFont="1" applyBorder="1" applyAlignment="1" applyProtection="1">
      <alignment horizontal="center" vertical="center" wrapText="1"/>
      <protection locked="0"/>
    </xf>
    <xf numFmtId="0" fontId="48" fillId="12" borderId="10" xfId="0" applyFont="1" applyFill="1" applyBorder="1" applyAlignment="1" applyProtection="1">
      <alignment horizontal="center" vertical="center" wrapText="1"/>
      <protection hidden="1"/>
    </xf>
    <xf numFmtId="1" fontId="48" fillId="0" borderId="4" xfId="0" applyNumberFormat="1" applyFont="1" applyBorder="1" applyAlignment="1" applyProtection="1">
      <alignment horizontal="center" vertical="center"/>
      <protection locked="0"/>
    </xf>
    <xf numFmtId="0" fontId="2" fillId="0" borderId="4" xfId="0" applyFont="1" applyBorder="1" applyProtection="1">
      <protection locked="0"/>
    </xf>
    <xf numFmtId="0" fontId="2" fillId="0" borderId="20" xfId="0" applyFont="1" applyBorder="1" applyProtection="1">
      <protection locked="0"/>
    </xf>
    <xf numFmtId="0" fontId="59" fillId="0" borderId="12" xfId="0" applyFont="1" applyBorder="1" applyAlignment="1" applyProtection="1">
      <alignment horizontal="center" vertical="center"/>
      <protection locked="0"/>
    </xf>
    <xf numFmtId="0" fontId="46" fillId="0" borderId="12" xfId="0" applyFont="1" applyBorder="1" applyAlignment="1" applyProtection="1">
      <alignment horizontal="center" vertical="center"/>
      <protection locked="0"/>
    </xf>
    <xf numFmtId="0" fontId="49" fillId="10" borderId="0" xfId="0" applyFont="1" applyFill="1" applyAlignment="1" applyProtection="1">
      <alignment horizontal="center" vertical="center" wrapText="1"/>
      <protection hidden="1"/>
    </xf>
    <xf numFmtId="0" fontId="8" fillId="5" borderId="10" xfId="0" applyFont="1" applyFill="1" applyBorder="1" applyAlignment="1" applyProtection="1">
      <alignment horizontal="center" vertical="center" wrapText="1"/>
      <protection hidden="1"/>
    </xf>
    <xf numFmtId="0" fontId="2" fillId="0" borderId="10"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51" fillId="14" borderId="6" xfId="0" applyFont="1" applyFill="1" applyBorder="1" applyAlignment="1" applyProtection="1">
      <alignment horizontal="center" vertical="center"/>
      <protection hidden="1"/>
    </xf>
    <xf numFmtId="0" fontId="2" fillId="0" borderId="7" xfId="0" applyFont="1" applyBorder="1" applyProtection="1">
      <protection hidden="1"/>
    </xf>
    <xf numFmtId="0" fontId="8" fillId="0" borderId="50" xfId="0" applyFont="1" applyBorder="1" applyAlignment="1" applyProtection="1">
      <alignment horizontal="center" vertical="center"/>
      <protection locked="0"/>
    </xf>
    <xf numFmtId="0" fontId="51" fillId="14" borderId="12" xfId="0" applyFont="1" applyFill="1" applyBorder="1" applyAlignment="1" applyProtection="1">
      <alignment horizontal="center" vertical="center"/>
      <protection hidden="1"/>
    </xf>
    <xf numFmtId="0" fontId="66" fillId="14" borderId="12" xfId="0" applyFont="1" applyFill="1" applyBorder="1" applyAlignment="1" applyProtection="1">
      <alignment horizontal="center" vertical="center"/>
      <protection hidden="1"/>
    </xf>
    <xf numFmtId="0" fontId="8" fillId="5" borderId="24" xfId="0" applyFont="1" applyFill="1" applyBorder="1" applyAlignment="1" applyProtection="1">
      <alignment horizontal="center" vertical="center" wrapText="1"/>
      <protection hidden="1"/>
    </xf>
    <xf numFmtId="0" fontId="8" fillId="5" borderId="11" xfId="0" applyFont="1" applyFill="1" applyBorder="1" applyAlignment="1" applyProtection="1">
      <alignment horizontal="center" vertical="center" wrapText="1"/>
      <protection hidden="1"/>
    </xf>
    <xf numFmtId="0" fontId="13" fillId="2" borderId="12" xfId="0" applyFont="1" applyFill="1" applyBorder="1" applyAlignment="1" applyProtection="1">
      <alignment horizontal="center" vertical="center"/>
      <protection hidden="1"/>
    </xf>
    <xf numFmtId="0" fontId="10" fillId="0" borderId="12" xfId="0" applyFont="1" applyBorder="1" applyAlignment="1" applyProtection="1">
      <alignment horizontal="center" vertical="center"/>
      <protection locked="0"/>
    </xf>
    <xf numFmtId="0" fontId="13" fillId="18" borderId="12" xfId="0" applyFont="1" applyFill="1" applyBorder="1" applyAlignment="1" applyProtection="1">
      <alignment horizontal="center" vertical="center"/>
      <protection hidden="1"/>
    </xf>
    <xf numFmtId="0" fontId="13" fillId="16" borderId="12" xfId="0" applyFont="1" applyFill="1" applyBorder="1" applyAlignment="1" applyProtection="1">
      <alignment horizontal="center" vertical="center"/>
      <protection hidden="1"/>
    </xf>
    <xf numFmtId="0" fontId="8" fillId="0" borderId="12" xfId="0" applyFont="1" applyBorder="1" applyAlignment="1" applyProtection="1">
      <alignment horizontal="center"/>
      <protection locked="0"/>
    </xf>
    <xf numFmtId="0" fontId="8" fillId="5" borderId="10" xfId="0" applyFont="1" applyFill="1" applyBorder="1" applyAlignment="1" applyProtection="1">
      <alignment horizontal="left" vertical="center" wrapText="1"/>
      <protection hidden="1"/>
    </xf>
    <xf numFmtId="0" fontId="2" fillId="0" borderId="10" xfId="0" applyFont="1" applyBorder="1" applyAlignment="1" applyProtection="1">
      <alignment horizontal="left"/>
      <protection hidden="1"/>
    </xf>
    <xf numFmtId="0" fontId="2" fillId="0" borderId="11" xfId="0" applyFont="1" applyBorder="1" applyAlignment="1" applyProtection="1">
      <alignment horizontal="left"/>
      <protection hidden="1"/>
    </xf>
    <xf numFmtId="164" fontId="8" fillId="0" borderId="12" xfId="0" applyNumberFormat="1" applyFont="1" applyBorder="1" applyAlignment="1" applyProtection="1">
      <alignment horizontal="center" vertical="center"/>
      <protection locked="0"/>
    </xf>
    <xf numFmtId="0" fontId="53" fillId="15" borderId="12" xfId="0" applyFont="1" applyFill="1" applyBorder="1" applyAlignment="1" applyProtection="1">
      <alignment horizontal="center" vertical="center"/>
      <protection hidden="1"/>
    </xf>
    <xf numFmtId="0" fontId="13" fillId="18" borderId="3" xfId="0" applyFont="1" applyFill="1" applyBorder="1" applyAlignment="1" applyProtection="1">
      <alignment horizontal="center" vertical="center"/>
      <protection hidden="1"/>
    </xf>
    <xf numFmtId="0" fontId="2" fillId="0" borderId="20" xfId="0" applyFont="1" applyBorder="1" applyProtection="1">
      <protection hidden="1"/>
    </xf>
    <xf numFmtId="0" fontId="13" fillId="4" borderId="12" xfId="0" applyFont="1" applyFill="1" applyBorder="1" applyAlignment="1" applyProtection="1">
      <alignment horizontal="center" vertical="center"/>
      <protection hidden="1"/>
    </xf>
    <xf numFmtId="0" fontId="2" fillId="0" borderId="34" xfId="0" applyFont="1" applyBorder="1" applyProtection="1">
      <protection locked="0"/>
    </xf>
    <xf numFmtId="0" fontId="69" fillId="9" borderId="10" xfId="0" applyFont="1" applyFill="1" applyBorder="1" applyAlignment="1" applyProtection="1">
      <alignment horizontal="center" vertical="center"/>
      <protection hidden="1"/>
    </xf>
    <xf numFmtId="0" fontId="13" fillId="16" borderId="27" xfId="0" applyFont="1" applyFill="1" applyBorder="1" applyAlignment="1" applyProtection="1">
      <alignment horizontal="center" vertical="center"/>
      <protection hidden="1"/>
    </xf>
    <xf numFmtId="0" fontId="2" fillId="0" borderId="46" xfId="0" applyFont="1" applyBorder="1" applyProtection="1">
      <protection hidden="1"/>
    </xf>
    <xf numFmtId="0" fontId="69" fillId="9" borderId="12" xfId="0" applyFont="1" applyFill="1" applyBorder="1" applyAlignment="1" applyProtection="1">
      <alignment horizontal="center" vertical="center"/>
      <protection hidden="1"/>
    </xf>
    <xf numFmtId="0" fontId="58" fillId="9" borderId="12" xfId="0" applyFont="1" applyFill="1" applyBorder="1" applyAlignment="1" applyProtection="1">
      <alignment horizontal="center" vertical="center"/>
      <protection hidden="1"/>
    </xf>
    <xf numFmtId="0" fontId="1" fillId="17" borderId="12" xfId="0" applyFont="1" applyFill="1" applyBorder="1" applyAlignment="1" applyProtection="1">
      <alignment horizontal="center" vertical="center"/>
      <protection hidden="1"/>
    </xf>
    <xf numFmtId="0" fontId="54" fillId="9" borderId="12" xfId="0" applyFont="1" applyFill="1" applyBorder="1" applyAlignment="1" applyProtection="1">
      <alignment horizontal="center" vertical="center" wrapText="1"/>
      <protection hidden="1"/>
    </xf>
    <xf numFmtId="0" fontId="54" fillId="9" borderId="2" xfId="0" applyFont="1" applyFill="1" applyBorder="1" applyAlignment="1" applyProtection="1">
      <alignment horizontal="center" vertical="center" wrapText="1"/>
      <protection hidden="1"/>
    </xf>
    <xf numFmtId="0" fontId="2" fillId="0" borderId="5" xfId="0" applyFont="1" applyBorder="1" applyProtection="1">
      <protection hidden="1"/>
    </xf>
    <xf numFmtId="0" fontId="2" fillId="0" borderId="8" xfId="0" applyFont="1" applyBorder="1" applyProtection="1">
      <protection hidden="1"/>
    </xf>
    <xf numFmtId="0" fontId="60" fillId="9" borderId="2" xfId="0" applyFont="1" applyFill="1" applyBorder="1" applyAlignment="1" applyProtection="1">
      <alignment horizontal="center" vertical="center" wrapText="1"/>
      <protection hidden="1"/>
    </xf>
    <xf numFmtId="0" fontId="61" fillId="9" borderId="3" xfId="0" applyFont="1" applyFill="1" applyBorder="1" applyAlignment="1" applyProtection="1">
      <alignment horizontal="center" vertical="center" wrapText="1"/>
      <protection hidden="1"/>
    </xf>
    <xf numFmtId="0" fontId="2" fillId="0" borderId="6" xfId="0" applyFont="1" applyBorder="1" applyProtection="1">
      <protection hidden="1"/>
    </xf>
    <xf numFmtId="0" fontId="52" fillId="9" borderId="4" xfId="0" applyFont="1" applyFill="1" applyBorder="1" applyAlignment="1" applyProtection="1">
      <alignment horizontal="center" vertical="center" wrapText="1"/>
      <protection hidden="1"/>
    </xf>
    <xf numFmtId="0" fontId="2" fillId="0" borderId="22" xfId="0" applyFont="1" applyBorder="1" applyProtection="1">
      <protection hidden="1"/>
    </xf>
    <xf numFmtId="0" fontId="54" fillId="9" borderId="3" xfId="0" applyFont="1" applyFill="1" applyBorder="1" applyAlignment="1" applyProtection="1">
      <alignment horizontal="center" vertical="center" wrapText="1"/>
      <protection hidden="1"/>
    </xf>
    <xf numFmtId="0" fontId="2" fillId="0" borderId="4" xfId="0" applyFont="1" applyBorder="1" applyProtection="1">
      <protection hidden="1"/>
    </xf>
    <xf numFmtId="0" fontId="2" fillId="0" borderId="23" xfId="0" applyFont="1" applyBorder="1" applyProtection="1">
      <protection hidden="1"/>
    </xf>
    <xf numFmtId="0" fontId="42" fillId="11" borderId="3" xfId="0" applyFont="1" applyFill="1" applyBorder="1" applyAlignment="1" applyProtection="1">
      <alignment horizontal="center" vertical="center"/>
      <protection hidden="1"/>
    </xf>
    <xf numFmtId="0" fontId="2" fillId="0" borderId="1" xfId="0" applyFont="1" applyBorder="1" applyProtection="1">
      <protection hidden="1"/>
    </xf>
    <xf numFmtId="0" fontId="0" fillId="0" borderId="0" xfId="0" applyProtection="1">
      <protection hidden="1"/>
    </xf>
    <xf numFmtId="0" fontId="2" fillId="0" borderId="51" xfId="0" applyFont="1" applyBorder="1" applyProtection="1">
      <protection hidden="1"/>
    </xf>
    <xf numFmtId="0" fontId="2" fillId="0" borderId="52" xfId="0" applyFont="1" applyBorder="1" applyProtection="1">
      <protection hidden="1"/>
    </xf>
    <xf numFmtId="0" fontId="42" fillId="11" borderId="4" xfId="0" applyFont="1" applyFill="1" applyBorder="1" applyAlignment="1" applyProtection="1">
      <alignment horizontal="center" vertical="center"/>
      <protection hidden="1"/>
    </xf>
    <xf numFmtId="0" fontId="80" fillId="4" borderId="12" xfId="0" applyFont="1" applyFill="1" applyBorder="1" applyAlignment="1" applyProtection="1">
      <alignment horizontal="center" vertical="center"/>
      <protection hidden="1"/>
    </xf>
    <xf numFmtId="0" fontId="81" fillId="0" borderId="11" xfId="0" applyFont="1" applyBorder="1" applyProtection="1">
      <protection hidden="1"/>
    </xf>
    <xf numFmtId="0" fontId="13" fillId="4" borderId="12" xfId="0" applyFont="1" applyFill="1" applyBorder="1" applyAlignment="1" applyProtection="1">
      <alignment horizontal="center" vertical="center" wrapText="1"/>
      <protection hidden="1"/>
    </xf>
    <xf numFmtId="0" fontId="14" fillId="4" borderId="12" xfId="0" applyFont="1" applyFill="1" applyBorder="1" applyAlignment="1" applyProtection="1">
      <alignment horizontal="center" vertical="center"/>
      <protection hidden="1"/>
    </xf>
    <xf numFmtId="0" fontId="71" fillId="0" borderId="56" xfId="0" applyFont="1" applyBorder="1" applyAlignment="1" applyProtection="1">
      <alignment horizontal="center" vertical="center" wrapText="1"/>
      <protection hidden="1"/>
    </xf>
    <xf numFmtId="0" fontId="2" fillId="0" borderId="55" xfId="0" applyFont="1" applyBorder="1" applyProtection="1">
      <protection hidden="1"/>
    </xf>
    <xf numFmtId="0" fontId="2" fillId="0" borderId="57" xfId="0" applyFont="1" applyBorder="1" applyProtection="1">
      <protection hidden="1"/>
    </xf>
    <xf numFmtId="0" fontId="2" fillId="0" borderId="21" xfId="0" applyFont="1" applyBorder="1" applyProtection="1">
      <protection hidden="1"/>
    </xf>
    <xf numFmtId="0" fontId="2" fillId="0" borderId="58" xfId="0" applyFont="1" applyBorder="1" applyProtection="1">
      <protection hidden="1"/>
    </xf>
    <xf numFmtId="0" fontId="72" fillId="0" borderId="21" xfId="0" applyFont="1" applyBorder="1" applyAlignment="1" applyProtection="1">
      <alignment horizontal="center" vertical="center" wrapText="1"/>
      <protection hidden="1"/>
    </xf>
    <xf numFmtId="0" fontId="2" fillId="0" borderId="59" xfId="0" applyFont="1" applyBorder="1" applyProtection="1">
      <protection hidden="1"/>
    </xf>
    <xf numFmtId="0" fontId="2" fillId="0" borderId="60" xfId="0" applyFont="1" applyBorder="1" applyProtection="1">
      <protection hidden="1"/>
    </xf>
    <xf numFmtId="0" fontId="46" fillId="11" borderId="3" xfId="0" applyFont="1" applyFill="1" applyBorder="1" applyAlignment="1" applyProtection="1">
      <alignment horizontal="center" vertical="center" wrapText="1"/>
      <protection hidden="1"/>
    </xf>
    <xf numFmtId="0" fontId="50" fillId="13" borderId="50" xfId="0" applyFont="1" applyFill="1" applyBorder="1" applyAlignment="1" applyProtection="1">
      <alignment horizontal="center" vertical="center" wrapText="1"/>
      <protection hidden="1"/>
    </xf>
    <xf numFmtId="0" fontId="1" fillId="9" borderId="2" xfId="0" applyFont="1" applyFill="1" applyBorder="1" applyAlignment="1" applyProtection="1">
      <alignment horizontal="center" vertical="center" wrapText="1"/>
      <protection hidden="1"/>
    </xf>
    <xf numFmtId="0" fontId="62" fillId="9" borderId="2" xfId="0" applyFont="1" applyFill="1" applyBorder="1" applyAlignment="1" applyProtection="1">
      <alignment horizontal="center" vertical="center" wrapText="1"/>
      <protection hidden="1"/>
    </xf>
    <xf numFmtId="0" fontId="69" fillId="9" borderId="7" xfId="0" applyFont="1" applyFill="1" applyBorder="1" applyAlignment="1" applyProtection="1">
      <alignment horizontal="center" vertical="center"/>
      <protection hidden="1"/>
    </xf>
    <xf numFmtId="0" fontId="40" fillId="2" borderId="37" xfId="0" applyFont="1" applyFill="1" applyBorder="1" applyAlignment="1">
      <alignment horizontal="center" vertical="center"/>
    </xf>
    <xf numFmtId="0" fontId="2" fillId="0" borderId="18" xfId="0" applyFont="1" applyBorder="1"/>
    <xf numFmtId="0" fontId="2" fillId="0" borderId="31" xfId="0" applyFont="1" applyBorder="1"/>
    <xf numFmtId="0" fontId="3" fillId="4" borderId="12" xfId="0" applyFont="1" applyFill="1" applyBorder="1" applyAlignment="1">
      <alignment horizontal="center" vertical="center" wrapText="1"/>
    </xf>
    <xf numFmtId="0" fontId="2" fillId="0" borderId="10" xfId="0" applyFont="1" applyBorder="1"/>
    <xf numFmtId="0" fontId="2" fillId="0" borderId="11" xfId="0" applyFont="1" applyBorder="1"/>
    <xf numFmtId="0" fontId="6" fillId="4" borderId="12" xfId="0" applyFont="1" applyFill="1" applyBorder="1" applyAlignment="1">
      <alignment horizontal="center" vertical="center"/>
    </xf>
    <xf numFmtId="0" fontId="3" fillId="4" borderId="36" xfId="0" applyFont="1" applyFill="1" applyBorder="1" applyAlignment="1">
      <alignment horizontal="center" vertical="center" wrapText="1"/>
    </xf>
    <xf numFmtId="0" fontId="2" fillId="0" borderId="38" xfId="0" applyFont="1" applyBorder="1"/>
    <xf numFmtId="0" fontId="2" fillId="0" borderId="39" xfId="0" applyFont="1" applyBorder="1"/>
    <xf numFmtId="0" fontId="17" fillId="4" borderId="2" xfId="0" applyFont="1" applyFill="1" applyBorder="1" applyAlignment="1">
      <alignment horizontal="center" vertical="center" wrapText="1"/>
    </xf>
    <xf numFmtId="0" fontId="2" fillId="0" borderId="5" xfId="0" applyFont="1" applyBorder="1"/>
    <xf numFmtId="0" fontId="2" fillId="0" borderId="8" xfId="0" applyFont="1" applyBorder="1"/>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6" xfId="0" applyFont="1" applyBorder="1"/>
    <xf numFmtId="0" fontId="4" fillId="4" borderId="2"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2" fillId="0" borderId="43" xfId="0" applyFont="1" applyBorder="1"/>
    <xf numFmtId="0" fontId="2" fillId="0" borderId="44" xfId="0" applyFont="1" applyBorder="1"/>
    <xf numFmtId="0" fontId="2" fillId="0" borderId="20" xfId="0" applyFont="1" applyBorder="1"/>
    <xf numFmtId="0" fontId="2" fillId="0" borderId="23" xfId="0" applyFont="1" applyBorder="1"/>
    <xf numFmtId="0" fontId="2" fillId="0" borderId="4" xfId="0" applyFont="1" applyBorder="1"/>
    <xf numFmtId="0" fontId="2" fillId="0" borderId="7" xfId="0" applyFont="1" applyBorder="1"/>
    <xf numFmtId="0" fontId="76" fillId="20" borderId="27" xfId="0" applyFont="1" applyFill="1" applyBorder="1" applyAlignment="1">
      <alignment horizontal="center" vertical="center"/>
    </xf>
    <xf numFmtId="0" fontId="77" fillId="21" borderId="46" xfId="0" applyFont="1" applyFill="1" applyBorder="1"/>
    <xf numFmtId="0" fontId="84" fillId="6" borderId="15" xfId="0" applyFont="1" applyFill="1" applyBorder="1" applyAlignment="1">
      <alignment horizontal="center" vertical="center"/>
    </xf>
    <xf numFmtId="0" fontId="85" fillId="0" borderId="16" xfId="0" applyFont="1" applyBorder="1"/>
    <xf numFmtId="0" fontId="84" fillId="6" borderId="16" xfId="0" applyFont="1" applyFill="1" applyBorder="1" applyAlignment="1">
      <alignment horizontal="left" vertical="center"/>
    </xf>
    <xf numFmtId="0" fontId="84" fillId="6" borderId="16" xfId="0" applyFont="1" applyFill="1" applyBorder="1" applyAlignment="1">
      <alignment horizontal="right" vertical="center"/>
    </xf>
    <xf numFmtId="0" fontId="85" fillId="0" borderId="30" xfId="0" applyFont="1" applyBorder="1"/>
    <xf numFmtId="0" fontId="10" fillId="6" borderId="15" xfId="0" applyFont="1" applyFill="1" applyBorder="1" applyAlignment="1">
      <alignment horizontal="center" vertical="center"/>
    </xf>
    <xf numFmtId="0" fontId="2" fillId="0" borderId="16" xfId="0" applyFont="1" applyBorder="1"/>
    <xf numFmtId="0" fontId="10" fillId="6" borderId="16" xfId="0" applyFont="1" applyFill="1" applyBorder="1" applyAlignment="1">
      <alignment horizontal="left" vertical="center"/>
    </xf>
    <xf numFmtId="0" fontId="8" fillId="6" borderId="16" xfId="0" applyFont="1" applyFill="1" applyBorder="1" applyAlignment="1">
      <alignment horizontal="right" vertical="center"/>
    </xf>
    <xf numFmtId="0" fontId="2" fillId="0" borderId="30" xfId="0" applyFont="1" applyBorder="1"/>
    <xf numFmtId="0" fontId="13" fillId="6" borderId="16" xfId="0" applyFont="1" applyFill="1" applyBorder="1" applyAlignment="1">
      <alignment horizontal="left" vertical="center"/>
    </xf>
    <xf numFmtId="0" fontId="13" fillId="6" borderId="16" xfId="0" applyFont="1" applyFill="1" applyBorder="1" applyAlignment="1">
      <alignment horizontal="right" vertical="center"/>
    </xf>
    <xf numFmtId="0" fontId="13" fillId="6" borderId="16" xfId="0" applyFont="1" applyFill="1" applyBorder="1" applyAlignment="1">
      <alignment horizontal="center" vertical="center"/>
    </xf>
    <xf numFmtId="0" fontId="13" fillId="6" borderId="7" xfId="0" applyFont="1" applyFill="1" applyBorder="1" applyAlignment="1">
      <alignment horizontal="left" vertical="center"/>
    </xf>
    <xf numFmtId="0" fontId="13" fillId="6" borderId="18" xfId="0" applyFont="1" applyFill="1" applyBorder="1" applyAlignment="1">
      <alignment horizontal="right" vertical="center"/>
    </xf>
    <xf numFmtId="0" fontId="13" fillId="6" borderId="18" xfId="0" applyFont="1" applyFill="1" applyBorder="1" applyAlignment="1">
      <alignment horizontal="center" vertical="center"/>
    </xf>
    <xf numFmtId="0" fontId="11" fillId="6" borderId="12" xfId="0" applyFont="1" applyFill="1" applyBorder="1" applyAlignment="1">
      <alignment horizontal="center" vertical="center" wrapText="1"/>
    </xf>
    <xf numFmtId="0" fontId="13" fillId="6" borderId="12" xfId="0" applyFont="1" applyFill="1" applyBorder="1" applyAlignment="1">
      <alignment horizontal="left" vertical="center" wrapText="1"/>
    </xf>
    <xf numFmtId="0" fontId="2" fillId="0" borderId="34" xfId="0" applyFont="1" applyBorder="1"/>
    <xf numFmtId="0" fontId="13" fillId="6" borderId="12" xfId="0" applyFont="1" applyFill="1" applyBorder="1" applyAlignment="1">
      <alignment horizontal="right" vertical="center" wrapText="1"/>
    </xf>
    <xf numFmtId="0" fontId="8" fillId="6" borderId="12" xfId="0" applyFont="1" applyFill="1" applyBorder="1" applyAlignment="1">
      <alignment horizontal="left" vertical="center" wrapText="1"/>
    </xf>
    <xf numFmtId="0" fontId="13" fillId="6" borderId="10" xfId="0" applyFont="1" applyFill="1" applyBorder="1" applyAlignment="1">
      <alignment horizontal="left" vertical="center"/>
    </xf>
    <xf numFmtId="0" fontId="13" fillId="6" borderId="12" xfId="0" applyFont="1" applyFill="1" applyBorder="1" applyAlignment="1">
      <alignment horizontal="center" vertical="center"/>
    </xf>
    <xf numFmtId="0" fontId="14" fillId="6" borderId="12" xfId="0" applyFont="1" applyFill="1" applyBorder="1" applyAlignment="1">
      <alignment horizontal="right" vertical="center"/>
    </xf>
    <xf numFmtId="14" fontId="13" fillId="6" borderId="12" xfId="0" applyNumberFormat="1" applyFont="1" applyFill="1" applyBorder="1" applyAlignment="1">
      <alignment horizontal="center" vertical="center"/>
    </xf>
    <xf numFmtId="0" fontId="13" fillId="6" borderId="10" xfId="0" applyFont="1" applyFill="1" applyBorder="1" applyAlignment="1">
      <alignment horizontal="center" vertical="center"/>
    </xf>
    <xf numFmtId="0" fontId="13" fillId="6" borderId="12" xfId="0" applyFont="1" applyFill="1" applyBorder="1" applyAlignment="1">
      <alignment horizontal="left" vertical="center"/>
    </xf>
    <xf numFmtId="12" fontId="13" fillId="6" borderId="12" xfId="0" applyNumberFormat="1" applyFont="1" applyFill="1" applyBorder="1" applyAlignment="1">
      <alignment horizontal="left" vertical="center"/>
    </xf>
    <xf numFmtId="0" fontId="13" fillId="6" borderId="26" xfId="0" applyFont="1" applyFill="1" applyBorder="1" applyAlignment="1">
      <alignment horizontal="left" vertical="center"/>
    </xf>
    <xf numFmtId="0" fontId="2" fillId="0" borderId="26" xfId="0" applyFont="1" applyBorder="1"/>
    <xf numFmtId="0" fontId="13" fillId="6" borderId="27" xfId="0" applyFont="1" applyFill="1" applyBorder="1" applyAlignment="1">
      <alignment horizontal="left" vertical="center"/>
    </xf>
    <xf numFmtId="0" fontId="13" fillId="6" borderId="13" xfId="0" applyFont="1" applyFill="1" applyBorder="1" applyAlignment="1">
      <alignment horizontal="center" vertical="center"/>
    </xf>
    <xf numFmtId="0" fontId="2" fillId="0" borderId="14" xfId="0" applyFont="1" applyBorder="1"/>
    <xf numFmtId="0" fontId="19" fillId="6" borderId="12" xfId="0" applyFont="1" applyFill="1" applyBorder="1" applyAlignment="1">
      <alignment horizontal="center" vertical="center"/>
    </xf>
    <xf numFmtId="0" fontId="8" fillId="6" borderId="12" xfId="0" applyFont="1" applyFill="1" applyBorder="1" applyAlignment="1">
      <alignment horizontal="right" vertical="center"/>
    </xf>
    <xf numFmtId="0" fontId="11" fillId="6" borderId="12" xfId="0" applyFont="1" applyFill="1" applyBorder="1" applyAlignment="1">
      <alignment horizontal="left" vertical="center"/>
    </xf>
    <xf numFmtId="0" fontId="19" fillId="6" borderId="12" xfId="0" applyFont="1" applyFill="1" applyBorder="1" applyAlignment="1">
      <alignment horizontal="right" vertical="center"/>
    </xf>
    <xf numFmtId="0" fontId="79" fillId="6" borderId="12" xfId="0" applyFont="1" applyFill="1" applyBorder="1" applyAlignment="1">
      <alignment horizontal="left" vertical="center"/>
    </xf>
    <xf numFmtId="0" fontId="8" fillId="6" borderId="12" xfId="0" applyFont="1" applyFill="1" applyBorder="1" applyAlignment="1">
      <alignment horizontal="center" vertical="center"/>
    </xf>
    <xf numFmtId="0" fontId="37" fillId="6" borderId="12" xfId="0" applyFont="1" applyFill="1" applyBorder="1" applyAlignment="1">
      <alignment horizontal="left" vertical="center" wrapText="1"/>
    </xf>
    <xf numFmtId="0" fontId="16" fillId="0" borderId="12" xfId="0" applyFont="1" applyBorder="1" applyAlignment="1">
      <alignment horizontal="left" vertical="center" wrapText="1"/>
    </xf>
    <xf numFmtId="0" fontId="13" fillId="6" borderId="12" xfId="0" applyFont="1" applyFill="1" applyBorder="1" applyAlignment="1">
      <alignment horizontal="right" vertical="center"/>
    </xf>
    <xf numFmtId="0" fontId="37" fillId="6" borderId="12" xfId="0" applyFont="1" applyFill="1" applyBorder="1" applyAlignment="1">
      <alignment horizontal="left" vertical="center"/>
    </xf>
    <xf numFmtId="0" fontId="20" fillId="7" borderId="12" xfId="0" applyFont="1" applyFill="1" applyBorder="1" applyAlignment="1">
      <alignment horizontal="left" vertical="center" wrapText="1"/>
    </xf>
    <xf numFmtId="0" fontId="83" fillId="7" borderId="12" xfId="0" applyFont="1" applyFill="1" applyBorder="1" applyAlignment="1">
      <alignment horizontal="left" vertical="center" wrapText="1"/>
    </xf>
    <xf numFmtId="0" fontId="83" fillId="7" borderId="10" xfId="0" applyFont="1" applyFill="1" applyBorder="1" applyAlignment="1">
      <alignment horizontal="left" vertical="center" wrapText="1"/>
    </xf>
    <xf numFmtId="0" fontId="83" fillId="7" borderId="11" xfId="0" applyFont="1" applyFill="1" applyBorder="1" applyAlignment="1">
      <alignment horizontal="left" vertical="center" wrapText="1"/>
    </xf>
    <xf numFmtId="0" fontId="8" fillId="6" borderId="11" xfId="0" applyFont="1" applyFill="1" applyBorder="1" applyAlignment="1">
      <alignment horizontal="center" vertical="center"/>
    </xf>
    <xf numFmtId="0" fontId="13" fillId="6" borderId="10" xfId="0" applyFont="1" applyFill="1" applyBorder="1" applyAlignment="1">
      <alignment horizontal="right" vertical="center"/>
    </xf>
    <xf numFmtId="0" fontId="13" fillId="6" borderId="11" xfId="0" applyFont="1" applyFill="1" applyBorder="1" applyAlignment="1">
      <alignment horizontal="right" vertical="center"/>
    </xf>
    <xf numFmtId="0" fontId="8" fillId="6" borderId="10" xfId="0" applyFont="1" applyFill="1" applyBorder="1" applyAlignment="1">
      <alignment horizontal="right" vertical="center"/>
    </xf>
    <xf numFmtId="0" fontId="8" fillId="6" borderId="34" xfId="0" applyFont="1" applyFill="1" applyBorder="1" applyAlignment="1">
      <alignment horizontal="right" vertical="center"/>
    </xf>
    <xf numFmtId="0" fontId="82" fillId="6" borderId="12" xfId="0" applyFont="1" applyFill="1" applyBorder="1" applyAlignment="1">
      <alignment horizontal="left" vertical="center"/>
    </xf>
    <xf numFmtId="0" fontId="35" fillId="6" borderId="12" xfId="0" applyFont="1" applyFill="1" applyBorder="1" applyAlignment="1">
      <alignment horizontal="left" vertical="center"/>
    </xf>
    <xf numFmtId="0" fontId="14" fillId="6" borderId="12" xfId="0" applyFont="1" applyFill="1" applyBorder="1" applyAlignment="1">
      <alignment horizontal="left" vertical="center"/>
    </xf>
    <xf numFmtId="0" fontId="36" fillId="6" borderId="10" xfId="0" applyFont="1" applyFill="1" applyBorder="1" applyAlignment="1">
      <alignment horizontal="right" vertical="center"/>
    </xf>
    <xf numFmtId="0" fontId="25" fillId="6" borderId="3" xfId="0" applyFont="1" applyFill="1" applyBorder="1" applyAlignment="1">
      <alignment horizontal="right" vertical="center"/>
    </xf>
    <xf numFmtId="0" fontId="8" fillId="6" borderId="3" xfId="0" applyFont="1" applyFill="1" applyBorder="1" applyAlignment="1">
      <alignment horizontal="center" vertical="center"/>
    </xf>
    <xf numFmtId="0" fontId="8" fillId="6" borderId="3" xfId="0" applyFont="1" applyFill="1" applyBorder="1" applyAlignment="1">
      <alignment horizontal="right" vertical="center"/>
    </xf>
    <xf numFmtId="0" fontId="2" fillId="0" borderId="32" xfId="0" applyFont="1" applyBorder="1"/>
    <xf numFmtId="0" fontId="25" fillId="6" borderId="12" xfId="0" applyFont="1" applyFill="1" applyBorder="1" applyAlignment="1">
      <alignment horizontal="right" vertical="center"/>
    </xf>
    <xf numFmtId="0" fontId="10" fillId="6" borderId="12" xfId="0" applyFont="1" applyFill="1" applyBorder="1" applyAlignment="1">
      <alignment horizontal="center" vertical="center"/>
    </xf>
    <xf numFmtId="0" fontId="79" fillId="6" borderId="0" xfId="0" applyFont="1" applyFill="1" applyAlignment="1">
      <alignment horizontal="center" vertical="center"/>
    </xf>
    <xf numFmtId="0" fontId="88" fillId="0" borderId="0" xfId="0" applyFont="1"/>
    <xf numFmtId="0" fontId="11" fillId="6" borderId="0" xfId="0" applyFont="1" applyFill="1" applyAlignment="1">
      <alignment horizontal="center" vertical="center"/>
    </xf>
    <xf numFmtId="0" fontId="2" fillId="0" borderId="0" xfId="0" applyFont="1"/>
    <xf numFmtId="0" fontId="11" fillId="6" borderId="0" xfId="0" applyFont="1" applyFill="1" applyAlignment="1">
      <alignment horizontal="left" vertical="center"/>
    </xf>
    <xf numFmtId="14" fontId="13" fillId="6" borderId="0" xfId="0" applyNumberFormat="1" applyFont="1" applyFill="1" applyAlignment="1">
      <alignment horizontal="left" vertical="center"/>
    </xf>
    <xf numFmtId="0" fontId="14" fillId="6" borderId="0" xfId="0" applyFont="1" applyFill="1" applyAlignment="1">
      <alignment horizontal="center" vertical="center"/>
    </xf>
    <xf numFmtId="0" fontId="15" fillId="6" borderId="12" xfId="0" applyFont="1" applyFill="1" applyBorder="1" applyAlignment="1">
      <alignment horizontal="center" vertical="center"/>
    </xf>
    <xf numFmtId="0" fontId="15" fillId="6" borderId="12" xfId="0" applyFont="1" applyFill="1" applyBorder="1" applyAlignment="1">
      <alignment horizontal="center" vertical="center" wrapText="1"/>
    </xf>
    <xf numFmtId="0" fontId="28" fillId="6" borderId="12" xfId="0" applyFont="1" applyFill="1" applyBorder="1" applyAlignment="1">
      <alignment horizontal="left" vertical="center" wrapText="1"/>
    </xf>
    <xf numFmtId="0" fontId="13" fillId="6" borderId="12" xfId="0" applyFont="1" applyFill="1" applyBorder="1" applyAlignment="1">
      <alignment horizontal="center" vertical="center" wrapText="1"/>
    </xf>
    <xf numFmtId="0" fontId="33" fillId="6" borderId="12" xfId="0" applyFont="1" applyFill="1" applyBorder="1" applyAlignment="1">
      <alignment horizontal="left" vertical="center" wrapText="1"/>
    </xf>
    <xf numFmtId="0" fontId="11" fillId="6" borderId="0" xfId="0" applyFont="1" applyFill="1" applyAlignment="1">
      <alignment horizontal="center" vertical="center" wrapText="1"/>
    </xf>
    <xf numFmtId="0" fontId="11" fillId="6" borderId="0" xfId="0" applyFont="1" applyFill="1" applyAlignment="1">
      <alignment horizontal="left" vertical="center" wrapText="1"/>
    </xf>
    <xf numFmtId="0" fontId="2" fillId="0" borderId="0" xfId="0" applyFont="1" applyAlignment="1">
      <alignment horizontal="left" vertical="center" wrapText="1"/>
    </xf>
    <xf numFmtId="0" fontId="13" fillId="6" borderId="0" xfId="0" applyFont="1" applyFill="1" applyAlignment="1">
      <alignment horizontal="center" vertical="center"/>
    </xf>
    <xf numFmtId="0" fontId="13" fillId="6" borderId="0" xfId="0" applyFont="1" applyFill="1" applyAlignment="1">
      <alignment horizontal="left" vertical="center"/>
    </xf>
    <xf numFmtId="0" fontId="9" fillId="0" borderId="0" xfId="0" applyFont="1" applyAlignment="1">
      <alignment horizontal="center" vertical="center" wrapText="1"/>
    </xf>
    <xf numFmtId="0" fontId="0" fillId="0" borderId="0" xfId="0"/>
    <xf numFmtId="14" fontId="11" fillId="6" borderId="0" xfId="0" applyNumberFormat="1" applyFont="1" applyFill="1" applyAlignment="1">
      <alignment horizontal="left" vertical="center"/>
    </xf>
    <xf numFmtId="0" fontId="11" fillId="6" borderId="19" xfId="0" applyFont="1" applyFill="1" applyBorder="1" applyAlignment="1">
      <alignment horizontal="center" vertical="center" wrapText="1"/>
    </xf>
    <xf numFmtId="0" fontId="2" fillId="0" borderId="21" xfId="0" applyFont="1" applyBorder="1"/>
    <xf numFmtId="0" fontId="2" fillId="0" borderId="17" xfId="0" applyFont="1" applyBorder="1"/>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3" fillId="6" borderId="3" xfId="0" applyFont="1" applyFill="1" applyBorder="1" applyAlignment="1">
      <alignment horizontal="left" vertical="center" wrapText="1"/>
    </xf>
    <xf numFmtId="0" fontId="2" fillId="0" borderId="33" xfId="0" applyFont="1" applyBorder="1"/>
    <xf numFmtId="0" fontId="13" fillId="6" borderId="4" xfId="0" applyFont="1" applyFill="1" applyBorder="1" applyAlignment="1">
      <alignment horizontal="left" vertical="center" wrapText="1"/>
    </xf>
    <xf numFmtId="0" fontId="2" fillId="0" borderId="22" xfId="0" applyFont="1" applyBorder="1"/>
    <xf numFmtId="0" fontId="13" fillId="6" borderId="0" xfId="0" applyFont="1" applyFill="1" applyAlignment="1">
      <alignment horizontal="center" vertical="center" wrapText="1"/>
    </xf>
    <xf numFmtId="0" fontId="11" fillId="6" borderId="0" xfId="0" applyFont="1" applyFill="1" applyAlignment="1">
      <alignment horizontal="right" vertical="center"/>
    </xf>
    <xf numFmtId="0" fontId="20" fillId="6" borderId="12" xfId="0" applyFont="1" applyFill="1" applyBorder="1" applyAlignment="1">
      <alignment horizontal="left" vertical="center" wrapText="1"/>
    </xf>
    <xf numFmtId="0" fontId="12" fillId="6" borderId="15" xfId="0" applyFont="1" applyFill="1" applyBorder="1" applyAlignment="1">
      <alignment horizontal="center" vertical="center"/>
    </xf>
    <xf numFmtId="0" fontId="12" fillId="6" borderId="16" xfId="0" applyFont="1" applyFill="1" applyBorder="1" applyAlignment="1">
      <alignment horizontal="left" vertical="center"/>
    </xf>
    <xf numFmtId="0" fontId="12" fillId="6" borderId="16" xfId="0" applyFont="1" applyFill="1" applyBorder="1" applyAlignment="1">
      <alignment horizontal="right" vertical="center"/>
    </xf>
    <xf numFmtId="0" fontId="11" fillId="6" borderId="12" xfId="0" applyFont="1" applyFill="1" applyBorder="1" applyAlignment="1">
      <alignment horizontal="left" vertical="center" wrapText="1"/>
    </xf>
    <xf numFmtId="0" fontId="11" fillId="6" borderId="12" xfId="0" applyFont="1" applyFill="1" applyBorder="1" applyAlignment="1">
      <alignment horizontal="center" vertical="center"/>
    </xf>
    <xf numFmtId="0" fontId="11" fillId="6" borderId="0" xfId="0" applyFont="1" applyFill="1" applyAlignment="1">
      <alignment horizontal="left" vertical="top"/>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 fillId="2" borderId="1" xfId="0" applyFont="1" applyFill="1" applyBorder="1" applyAlignment="1" applyProtection="1">
      <alignment horizontal="center" vertical="center"/>
      <protection locked="0"/>
    </xf>
    <xf numFmtId="0" fontId="2" fillId="0" borderId="0" xfId="0" applyFont="1" applyProtection="1">
      <protection locked="0"/>
    </xf>
    <xf numFmtId="0" fontId="3" fillId="4" borderId="12" xfId="0" applyFont="1" applyFill="1" applyBorder="1" applyAlignment="1" applyProtection="1">
      <alignment horizontal="center" vertical="center" wrapText="1"/>
      <protection locked="0"/>
    </xf>
    <xf numFmtId="0" fontId="18" fillId="4" borderId="12"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wrapText="1"/>
      <protection locked="0"/>
    </xf>
    <xf numFmtId="0" fontId="2" fillId="0" borderId="5" xfId="0" applyFont="1" applyBorder="1" applyProtection="1">
      <protection locked="0"/>
    </xf>
    <xf numFmtId="0" fontId="2" fillId="0" borderId="8" xfId="0" applyFont="1" applyBorder="1" applyProtection="1">
      <protection locked="0"/>
    </xf>
    <xf numFmtId="0" fontId="8" fillId="5" borderId="10" xfId="0" applyFont="1" applyFill="1" applyBorder="1" applyAlignment="1" applyProtection="1">
      <alignment horizontal="center" vertical="center" wrapText="1"/>
      <protection locked="0"/>
    </xf>
    <xf numFmtId="0" fontId="12" fillId="6" borderId="16" xfId="0" applyFont="1" applyFill="1" applyBorder="1" applyAlignment="1" applyProtection="1">
      <alignment horizontal="left" vertical="center"/>
      <protection locked="0"/>
    </xf>
    <xf numFmtId="0" fontId="2" fillId="0" borderId="16" xfId="0" applyFont="1" applyBorder="1" applyProtection="1">
      <protection locked="0"/>
    </xf>
    <xf numFmtId="0" fontId="12" fillId="6" borderId="16" xfId="0" applyFont="1" applyFill="1" applyBorder="1" applyAlignment="1" applyProtection="1">
      <alignment horizontal="right" vertical="center"/>
      <protection locked="0"/>
    </xf>
    <xf numFmtId="0" fontId="13" fillId="6" borderId="16" xfId="0" applyFont="1" applyFill="1" applyBorder="1" applyAlignment="1" applyProtection="1">
      <alignment horizontal="right" vertical="center"/>
      <protection locked="0"/>
    </xf>
    <xf numFmtId="0" fontId="13" fillId="6" borderId="16" xfId="0" applyFont="1" applyFill="1" applyBorder="1" applyAlignment="1" applyProtection="1">
      <alignment horizontal="center" vertical="center"/>
      <protection locked="0"/>
    </xf>
    <xf numFmtId="0" fontId="2" fillId="0" borderId="30" xfId="0" applyFont="1" applyBorder="1" applyProtection="1">
      <protection locked="0"/>
    </xf>
    <xf numFmtId="0" fontId="13" fillId="6" borderId="12" xfId="0" applyFont="1" applyFill="1" applyBorder="1" applyAlignment="1" applyProtection="1">
      <alignment horizontal="left" vertical="center" wrapText="1"/>
      <protection locked="0"/>
    </xf>
    <xf numFmtId="0" fontId="13" fillId="6" borderId="12" xfId="0" applyFont="1" applyFill="1" applyBorder="1" applyAlignment="1" applyProtection="1">
      <alignment horizontal="left" vertical="center"/>
      <protection locked="0"/>
    </xf>
    <xf numFmtId="14" fontId="13" fillId="6" borderId="12" xfId="0" applyNumberFormat="1" applyFont="1" applyFill="1" applyBorder="1" applyAlignment="1" applyProtection="1">
      <alignment horizontal="center" vertical="center"/>
      <protection locked="0"/>
    </xf>
    <xf numFmtId="12" fontId="13" fillId="6" borderId="12" xfId="0" applyNumberFormat="1" applyFont="1" applyFill="1" applyBorder="1" applyAlignment="1" applyProtection="1">
      <alignment horizontal="left" vertical="center"/>
      <protection locked="0"/>
    </xf>
    <xf numFmtId="0" fontId="31" fillId="6" borderId="12" xfId="0" applyFont="1" applyFill="1" applyBorder="1" applyAlignment="1">
      <alignment horizontal="left" vertical="center"/>
    </xf>
    <xf numFmtId="0" fontId="8" fillId="6" borderId="12" xfId="0" applyFont="1" applyFill="1" applyBorder="1" applyAlignment="1" applyProtection="1">
      <alignment horizontal="center" vertical="center"/>
      <protection locked="0"/>
    </xf>
    <xf numFmtId="0" fontId="24" fillId="6" borderId="10" xfId="0" applyFont="1" applyFill="1" applyBorder="1" applyAlignment="1">
      <alignment horizontal="right" vertical="center"/>
    </xf>
    <xf numFmtId="0" fontId="20" fillId="6" borderId="12" xfId="0" applyFont="1" applyFill="1" applyBorder="1" applyAlignment="1">
      <alignment horizontal="center" vertical="center" wrapText="1"/>
    </xf>
    <xf numFmtId="0" fontId="28" fillId="6" borderId="0" xfId="0" applyFont="1" applyFill="1" applyAlignment="1">
      <alignment horizontal="center" vertical="center"/>
    </xf>
    <xf numFmtId="0" fontId="17" fillId="4" borderId="2"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textRotation="90" wrapText="1"/>
      <protection locked="0"/>
    </xf>
    <xf numFmtId="0" fontId="3" fillId="4" borderId="3" xfId="0" applyFont="1" applyFill="1" applyBorder="1" applyAlignment="1" applyProtection="1">
      <alignment horizontal="center" vertical="center" textRotation="90" wrapText="1"/>
      <protection locked="0"/>
    </xf>
    <xf numFmtId="0" fontId="2" fillId="0" borderId="6" xfId="0" applyFont="1" applyBorder="1" applyProtection="1">
      <protection locked="0"/>
    </xf>
    <xf numFmtId="0" fontId="2" fillId="0" borderId="23" xfId="0" applyFont="1" applyBorder="1" applyProtection="1">
      <protection locked="0"/>
    </xf>
    <xf numFmtId="0" fontId="3" fillId="4" borderId="1" xfId="0" applyFont="1" applyFill="1" applyBorder="1" applyAlignment="1" applyProtection="1">
      <alignment horizontal="center" vertical="center" wrapText="1"/>
      <protection locked="0"/>
    </xf>
    <xf numFmtId="0" fontId="2" fillId="0" borderId="22" xfId="0" applyFont="1" applyBorder="1" applyProtection="1">
      <protection locked="0"/>
    </xf>
    <xf numFmtId="0" fontId="2" fillId="0" borderId="1" xfId="0" applyFont="1" applyBorder="1" applyProtection="1">
      <protection locked="0"/>
    </xf>
    <xf numFmtId="0" fontId="13" fillId="6" borderId="3" xfId="0" applyFont="1" applyFill="1" applyBorder="1" applyAlignment="1" applyProtection="1">
      <alignment horizontal="left" vertical="center" wrapText="1"/>
      <protection locked="0"/>
    </xf>
    <xf numFmtId="0" fontId="2" fillId="0" borderId="32" xfId="0" applyFont="1" applyBorder="1" applyProtection="1">
      <protection locked="0"/>
    </xf>
    <xf numFmtId="0" fontId="2" fillId="0" borderId="7" xfId="0" applyFont="1" applyBorder="1" applyProtection="1">
      <protection locked="0"/>
    </xf>
    <xf numFmtId="0" fontId="2" fillId="0" borderId="33" xfId="0" applyFont="1" applyBorder="1" applyProtection="1">
      <protection locked="0"/>
    </xf>
    <xf numFmtId="0" fontId="3" fillId="4" borderId="3"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xf>
    <xf numFmtId="0" fontId="18" fillId="4" borderId="12" xfId="0" applyFont="1" applyFill="1" applyBorder="1" applyAlignment="1">
      <alignment horizontal="center" vertical="center"/>
    </xf>
    <xf numFmtId="0" fontId="4" fillId="4" borderId="12" xfId="0" applyFont="1" applyFill="1" applyBorder="1" applyAlignment="1">
      <alignment horizontal="center" vertical="center"/>
    </xf>
    <xf numFmtId="0" fontId="3" fillId="4" borderId="1" xfId="0" applyFont="1" applyFill="1" applyBorder="1" applyAlignment="1">
      <alignment horizontal="center" vertical="center" wrapText="1"/>
    </xf>
    <xf numFmtId="0" fontId="2" fillId="0" borderId="1" xfId="0" applyFont="1" applyBorder="1"/>
    <xf numFmtId="0" fontId="8" fillId="5" borderId="10" xfId="0" applyFont="1" applyFill="1" applyBorder="1" applyAlignment="1">
      <alignment horizontal="center" vertical="center" wrapText="1"/>
    </xf>
    <xf numFmtId="0" fontId="8" fillId="0" borderId="12" xfId="0" applyFont="1" applyBorder="1" applyAlignment="1">
      <alignment horizontal="center"/>
    </xf>
    <xf numFmtId="0" fontId="10" fillId="0" borderId="13" xfId="0" applyFont="1" applyBorder="1" applyAlignment="1">
      <alignment horizontal="center"/>
    </xf>
    <xf numFmtId="0" fontId="15" fillId="6" borderId="12" xfId="0" applyFont="1" applyFill="1" applyBorder="1" applyAlignment="1">
      <alignment horizontal="left" vertical="center"/>
    </xf>
    <xf numFmtId="0" fontId="15" fillId="6" borderId="12" xfId="0" applyFont="1" applyFill="1" applyBorder="1" applyAlignment="1">
      <alignment horizontal="left" vertical="center" wrapText="1"/>
    </xf>
    <xf numFmtId="0" fontId="9" fillId="6" borderId="12" xfId="0" applyFont="1" applyFill="1" applyBorder="1" applyAlignment="1">
      <alignment horizontal="left" vertical="center"/>
    </xf>
    <xf numFmtId="0" fontId="20" fillId="6" borderId="12" xfId="0" applyFont="1" applyFill="1" applyBorder="1" applyAlignment="1">
      <alignment horizontal="left" vertical="center"/>
    </xf>
    <xf numFmtId="0" fontId="22" fillId="6" borderId="12" xfId="0" applyFont="1" applyFill="1" applyBorder="1" applyAlignment="1">
      <alignment horizontal="left" vertical="center"/>
    </xf>
    <xf numFmtId="0" fontId="23" fillId="6" borderId="12" xfId="0" applyFont="1" applyFill="1" applyBorder="1" applyAlignment="1">
      <alignment horizontal="left" vertical="center"/>
    </xf>
    <xf numFmtId="0" fontId="3" fillId="4" borderId="2" xfId="0" applyFont="1" applyFill="1" applyBorder="1" applyAlignment="1">
      <alignment horizontal="center" vertical="center" textRotation="90" wrapText="1"/>
    </xf>
    <xf numFmtId="0" fontId="3" fillId="4" borderId="3" xfId="0" applyFont="1" applyFill="1" applyBorder="1" applyAlignment="1">
      <alignment horizontal="center" vertical="center" textRotation="90" wrapText="1"/>
    </xf>
  </cellXfs>
  <cellStyles count="1">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C4E7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externalLink" Target="externalLinks/externalLink1.xml" /><Relationship Id="rId12" Type="http://schemas.openxmlformats.org/officeDocument/2006/relationships/customXml" Target="../customXml/item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LPITABEN%202025-26.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PAGAR"/>
      <sheetName val="NEW REGIME"/>
      <sheetName val="OLD REGIME"/>
      <sheetName val="મેન્યુઅલી NEW"/>
      <sheetName val="મેન્યુઅલી OLD "/>
    </sheetNames>
    <sheetDataSet>
      <sheetData sheetId="0">
        <row r="27">
          <cell r="B27" t="str">
            <v>એપ્રિલ - 2025</v>
          </cell>
        </row>
        <row r="34">
          <cell r="B34" t="str">
            <v>નવે. - 2025</v>
          </cell>
        </row>
        <row r="35">
          <cell r="B35" t="str">
            <v>ડિસે. - 2025</v>
          </cell>
        </row>
        <row r="36">
          <cell r="B36" t="str">
            <v>જાન્યુ. - 2026</v>
          </cell>
        </row>
        <row r="37">
          <cell r="B37" t="str">
            <v>ફેબ્રુ. -2026</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0"/>
  <sheetViews>
    <sheetView topLeftCell="N13" workbookViewId="0">
      <selection activeCell="K25" sqref="K25:L25"/>
    </sheetView>
  </sheetViews>
  <sheetFormatPr defaultColWidth="14.3515625" defaultRowHeight="15" customHeight="1" x14ac:dyDescent="0.2"/>
  <cols>
    <col min="1" max="1" width="2.95703125" style="109" customWidth="1"/>
    <col min="2" max="2" width="13.16796875" style="109" customWidth="1"/>
    <col min="3" max="3" width="7.3984375" style="109" customWidth="1"/>
    <col min="4" max="4" width="17.90234375" style="109" customWidth="1"/>
    <col min="5" max="5" width="9.46875" style="109" customWidth="1"/>
    <col min="6" max="6" width="5.91796875" style="109" customWidth="1"/>
    <col min="7" max="7" width="7.25" style="109" customWidth="1"/>
    <col min="8" max="8" width="5.62109375" style="109" customWidth="1"/>
    <col min="9" max="9" width="5.76953125" style="109" customWidth="1"/>
    <col min="10" max="10" width="6.5078125" style="109" customWidth="1"/>
    <col min="11" max="11" width="8.58203125" style="109" customWidth="1"/>
    <col min="12" max="12" width="6.06640625" style="109" customWidth="1"/>
    <col min="13" max="13" width="10.80078125" style="109" customWidth="1"/>
    <col min="14" max="14" width="31.07421875" style="109" customWidth="1"/>
    <col min="15" max="15" width="5.32421875" style="109" customWidth="1"/>
    <col min="16" max="16" width="4.140625" style="109" customWidth="1"/>
    <col min="17" max="17" width="11.6875" style="109" customWidth="1"/>
    <col min="18" max="18" width="7.3984375" style="109" customWidth="1"/>
    <col min="19" max="19" width="10.80078125" style="109" customWidth="1"/>
    <col min="20" max="20" width="3.55078125" style="109" customWidth="1"/>
    <col min="21" max="21" width="10.20703125" style="109" hidden="1" customWidth="1"/>
    <col min="22" max="22" width="15.68359375" style="109" hidden="1" customWidth="1"/>
    <col min="23" max="23" width="16.27734375" style="109" customWidth="1"/>
    <col min="24" max="24" width="13.76171875" style="109" customWidth="1"/>
    <col min="25" max="27" width="8.875" style="109" customWidth="1"/>
    <col min="28" max="35" width="9.171875" style="109" customWidth="1"/>
    <col min="36" max="16384" width="14.3515625" style="109"/>
  </cols>
  <sheetData>
    <row r="1" spans="1:35" ht="15" customHeight="1" x14ac:dyDescent="0.2">
      <c r="A1" s="169"/>
      <c r="B1" s="170"/>
      <c r="C1" s="170"/>
      <c r="D1" s="170"/>
      <c r="E1" s="170"/>
      <c r="F1" s="170"/>
      <c r="G1" s="170"/>
      <c r="H1" s="170"/>
      <c r="I1" s="170"/>
      <c r="J1" s="170"/>
      <c r="K1" s="170"/>
      <c r="L1" s="170"/>
      <c r="M1" s="170"/>
      <c r="N1" s="170"/>
      <c r="O1" s="170"/>
      <c r="P1" s="170"/>
      <c r="Q1" s="170"/>
      <c r="R1" s="170"/>
      <c r="S1" s="170"/>
      <c r="T1" s="171"/>
      <c r="U1" s="122"/>
      <c r="V1" s="122"/>
      <c r="W1" s="122"/>
      <c r="X1" s="122"/>
      <c r="Y1" s="122"/>
      <c r="Z1" s="122"/>
      <c r="AA1" s="122"/>
      <c r="AB1" s="122"/>
      <c r="AC1" s="122"/>
      <c r="AD1" s="122"/>
      <c r="AE1" s="122"/>
      <c r="AF1" s="122"/>
      <c r="AG1" s="122"/>
      <c r="AH1" s="122"/>
      <c r="AI1" s="122"/>
    </row>
    <row r="2" spans="1:35" ht="24" customHeight="1" x14ac:dyDescent="0.35">
      <c r="A2" s="188"/>
      <c r="B2" s="110"/>
      <c r="C2" s="110"/>
      <c r="D2" s="172" t="s">
        <v>0</v>
      </c>
      <c r="E2" s="173"/>
      <c r="F2" s="173"/>
      <c r="G2" s="173"/>
      <c r="H2" s="173"/>
      <c r="I2" s="173"/>
      <c r="J2" s="173"/>
      <c r="K2" s="173"/>
      <c r="L2" s="173"/>
      <c r="M2" s="173"/>
      <c r="N2" s="173"/>
      <c r="O2" s="173"/>
      <c r="P2" s="173"/>
      <c r="Q2" s="173"/>
      <c r="R2" s="174"/>
      <c r="S2" s="173"/>
      <c r="T2" s="188"/>
      <c r="U2" s="122"/>
      <c r="V2" s="122"/>
      <c r="W2" s="122"/>
      <c r="X2" s="122"/>
      <c r="Y2" s="122"/>
      <c r="Z2" s="122"/>
      <c r="AA2" s="122"/>
      <c r="AB2" s="122"/>
      <c r="AC2" s="122"/>
      <c r="AD2" s="122"/>
      <c r="AE2" s="122"/>
      <c r="AF2" s="122"/>
      <c r="AG2" s="122"/>
      <c r="AH2" s="122"/>
      <c r="AI2" s="122"/>
    </row>
    <row r="3" spans="1:35" ht="27" customHeight="1" x14ac:dyDescent="0.35">
      <c r="A3" s="189"/>
      <c r="B3" s="110"/>
      <c r="C3" s="110"/>
      <c r="D3" s="175" t="s">
        <v>1</v>
      </c>
      <c r="E3" s="173"/>
      <c r="F3" s="173"/>
      <c r="G3" s="173"/>
      <c r="H3" s="173"/>
      <c r="I3" s="173"/>
      <c r="J3" s="173"/>
      <c r="K3" s="173"/>
      <c r="L3" s="173"/>
      <c r="M3" s="173"/>
      <c r="N3" s="173"/>
      <c r="O3" s="173"/>
      <c r="P3" s="173"/>
      <c r="Q3" s="173"/>
      <c r="R3" s="143"/>
      <c r="S3" s="143"/>
      <c r="T3" s="189"/>
      <c r="U3" s="122"/>
      <c r="V3" s="122"/>
      <c r="W3" s="122"/>
      <c r="X3" s="122"/>
      <c r="Y3" s="122"/>
      <c r="Z3" s="122"/>
      <c r="AA3" s="122"/>
      <c r="AB3" s="122"/>
      <c r="AC3" s="122"/>
      <c r="AD3" s="122"/>
      <c r="AE3" s="122"/>
      <c r="AF3" s="122"/>
      <c r="AG3" s="122"/>
      <c r="AH3" s="122"/>
      <c r="AI3" s="122"/>
    </row>
    <row r="4" spans="1:35" ht="15" customHeight="1" x14ac:dyDescent="0.35">
      <c r="A4" s="189"/>
      <c r="B4" s="110"/>
      <c r="C4" s="110"/>
      <c r="D4" s="176"/>
      <c r="E4" s="173"/>
      <c r="F4" s="173"/>
      <c r="G4" s="173"/>
      <c r="H4" s="173"/>
      <c r="I4" s="173"/>
      <c r="J4" s="173"/>
      <c r="K4" s="173"/>
      <c r="L4" s="173"/>
      <c r="M4" s="173"/>
      <c r="N4" s="173"/>
      <c r="O4" s="173"/>
      <c r="P4" s="173"/>
      <c r="Q4" s="173"/>
      <c r="R4" s="143"/>
      <c r="S4" s="143"/>
      <c r="T4" s="189"/>
      <c r="U4" s="122"/>
      <c r="V4" s="122"/>
      <c r="W4" s="122"/>
      <c r="X4" s="122"/>
      <c r="Y4" s="122"/>
      <c r="Z4" s="122"/>
      <c r="AA4" s="122"/>
      <c r="AB4" s="122"/>
      <c r="AC4" s="122"/>
      <c r="AD4" s="122"/>
      <c r="AE4" s="122"/>
      <c r="AF4" s="122"/>
      <c r="AG4" s="122"/>
      <c r="AH4" s="122"/>
      <c r="AI4" s="122"/>
    </row>
    <row r="5" spans="1:35" ht="19.5" customHeight="1" x14ac:dyDescent="0.2">
      <c r="A5" s="189"/>
      <c r="B5" s="111"/>
      <c r="C5" s="177" t="s">
        <v>2</v>
      </c>
      <c r="D5" s="178"/>
      <c r="E5" s="112">
        <v>2025</v>
      </c>
      <c r="F5" s="179">
        <v>2026</v>
      </c>
      <c r="G5" s="180"/>
      <c r="H5" s="114"/>
      <c r="I5" s="181"/>
      <c r="J5" s="182"/>
      <c r="K5" s="182"/>
      <c r="L5" s="182"/>
      <c r="M5" s="182"/>
      <c r="N5" s="182"/>
      <c r="O5" s="182"/>
      <c r="P5" s="182"/>
      <c r="Q5" s="178"/>
      <c r="R5" s="144"/>
      <c r="S5" s="111"/>
      <c r="T5" s="189"/>
      <c r="U5" s="122"/>
      <c r="V5" s="122"/>
      <c r="W5" s="122"/>
      <c r="X5" s="122"/>
      <c r="Y5" s="122"/>
      <c r="Z5" s="122"/>
      <c r="AA5" s="122"/>
      <c r="AB5" s="122"/>
      <c r="AC5" s="122"/>
      <c r="AD5" s="122"/>
      <c r="AE5" s="122"/>
      <c r="AF5" s="122"/>
      <c r="AG5" s="122"/>
      <c r="AH5" s="122"/>
      <c r="AI5" s="122"/>
    </row>
    <row r="6" spans="1:35" ht="19.5" customHeight="1" x14ac:dyDescent="0.2">
      <c r="A6" s="189"/>
      <c r="B6" s="111"/>
      <c r="C6" s="177" t="s">
        <v>3</v>
      </c>
      <c r="D6" s="178"/>
      <c r="E6" s="183" t="s">
        <v>257</v>
      </c>
      <c r="F6" s="184"/>
      <c r="G6" s="184"/>
      <c r="H6" s="184"/>
      <c r="I6" s="184"/>
      <c r="J6" s="180"/>
      <c r="K6" s="185" t="s">
        <v>5</v>
      </c>
      <c r="L6" s="182"/>
      <c r="M6" s="178"/>
      <c r="N6" s="186" t="s">
        <v>6</v>
      </c>
      <c r="O6" s="178"/>
      <c r="P6" s="187" t="s">
        <v>257</v>
      </c>
      <c r="Q6" s="184"/>
      <c r="R6" s="180"/>
      <c r="S6" s="111"/>
      <c r="T6" s="189"/>
      <c r="U6" s="122"/>
      <c r="V6" s="122"/>
      <c r="W6" s="122"/>
      <c r="X6" s="122"/>
      <c r="Y6" s="122"/>
      <c r="Z6" s="122"/>
      <c r="AA6" s="122"/>
      <c r="AB6" s="122"/>
      <c r="AC6" s="122"/>
      <c r="AD6" s="122"/>
      <c r="AE6" s="122"/>
      <c r="AF6" s="122"/>
      <c r="AG6" s="122"/>
      <c r="AH6" s="122"/>
      <c r="AI6" s="122"/>
    </row>
    <row r="7" spans="1:35" ht="19.5" customHeight="1" x14ac:dyDescent="0.2">
      <c r="A7" s="189"/>
      <c r="B7" s="111"/>
      <c r="C7" s="177" t="s">
        <v>7</v>
      </c>
      <c r="D7" s="178"/>
      <c r="E7" s="183" t="s">
        <v>258</v>
      </c>
      <c r="F7" s="184"/>
      <c r="G7" s="184"/>
      <c r="H7" s="184"/>
      <c r="I7" s="184"/>
      <c r="J7" s="180"/>
      <c r="K7" s="187" t="s">
        <v>259</v>
      </c>
      <c r="L7" s="184"/>
      <c r="M7" s="184"/>
      <c r="N7" s="184"/>
      <c r="O7" s="180"/>
      <c r="P7" s="187" t="s">
        <v>260</v>
      </c>
      <c r="Q7" s="184"/>
      <c r="R7" s="180"/>
      <c r="S7" s="111"/>
      <c r="T7" s="189"/>
      <c r="U7" s="122"/>
      <c r="V7" s="122"/>
      <c r="W7" s="122"/>
      <c r="X7" s="122"/>
      <c r="Y7" s="122"/>
      <c r="Z7" s="122"/>
      <c r="AA7" s="122"/>
      <c r="AB7" s="122"/>
      <c r="AC7" s="122"/>
      <c r="AD7" s="122"/>
      <c r="AE7" s="122"/>
      <c r="AF7" s="122"/>
      <c r="AG7" s="122"/>
      <c r="AH7" s="122"/>
      <c r="AI7" s="122"/>
    </row>
    <row r="8" spans="1:35" ht="19.5" customHeight="1" x14ac:dyDescent="0.2">
      <c r="A8" s="189"/>
      <c r="B8" s="111"/>
      <c r="C8" s="266" t="s">
        <v>9</v>
      </c>
      <c r="D8" s="227"/>
      <c r="E8" s="183" t="s">
        <v>261</v>
      </c>
      <c r="F8" s="184"/>
      <c r="G8" s="184"/>
      <c r="H8" s="184"/>
      <c r="I8" s="184"/>
      <c r="J8" s="184"/>
      <c r="K8" s="184"/>
      <c r="L8" s="184"/>
      <c r="M8" s="184"/>
      <c r="N8" s="184"/>
      <c r="O8" s="184"/>
      <c r="P8" s="184"/>
      <c r="Q8" s="184"/>
      <c r="R8" s="180"/>
      <c r="S8" s="111"/>
      <c r="T8" s="189"/>
      <c r="U8" s="122"/>
      <c r="V8" s="122"/>
      <c r="W8" s="122"/>
      <c r="X8" s="122"/>
      <c r="Y8" s="122"/>
      <c r="Z8" s="122"/>
      <c r="AA8" s="122"/>
      <c r="AB8" s="122"/>
      <c r="AC8" s="122"/>
      <c r="AD8" s="122"/>
      <c r="AE8" s="122"/>
      <c r="AF8" s="122"/>
      <c r="AG8" s="122"/>
      <c r="AH8" s="122"/>
      <c r="AI8" s="122"/>
    </row>
    <row r="9" spans="1:35" ht="19.5" customHeight="1" x14ac:dyDescent="0.2">
      <c r="A9" s="189"/>
      <c r="B9" s="111"/>
      <c r="C9" s="242"/>
      <c r="D9" s="247"/>
      <c r="E9" s="193" t="s">
        <v>10</v>
      </c>
      <c r="F9" s="178"/>
      <c r="G9" s="194" t="s">
        <v>262</v>
      </c>
      <c r="H9" s="184"/>
      <c r="I9" s="184"/>
      <c r="J9" s="184"/>
      <c r="K9" s="180"/>
      <c r="L9" s="177" t="s">
        <v>12</v>
      </c>
      <c r="M9" s="178"/>
      <c r="N9" s="187" t="s">
        <v>11</v>
      </c>
      <c r="O9" s="184"/>
      <c r="P9" s="184"/>
      <c r="Q9" s="184"/>
      <c r="R9" s="180"/>
      <c r="S9" s="111"/>
      <c r="T9" s="189"/>
      <c r="U9" s="122"/>
      <c r="V9" s="122"/>
      <c r="W9" s="122"/>
      <c r="X9" s="122"/>
      <c r="Y9" s="122"/>
      <c r="Z9" s="122"/>
      <c r="AA9" s="122"/>
      <c r="AB9" s="122"/>
      <c r="AC9" s="122"/>
      <c r="AD9" s="122"/>
      <c r="AE9" s="122"/>
      <c r="AF9" s="122"/>
      <c r="AG9" s="122"/>
      <c r="AH9" s="122"/>
      <c r="AI9" s="122"/>
    </row>
    <row r="10" spans="1:35" ht="19.5" customHeight="1" x14ac:dyDescent="0.2">
      <c r="A10" s="189"/>
      <c r="B10" s="111"/>
      <c r="C10" s="177" t="s">
        <v>13</v>
      </c>
      <c r="D10" s="178"/>
      <c r="E10" s="194"/>
      <c r="F10" s="184"/>
      <c r="G10" s="184"/>
      <c r="H10" s="184"/>
      <c r="I10" s="184"/>
      <c r="J10" s="184"/>
      <c r="K10" s="184"/>
      <c r="L10" s="184"/>
      <c r="M10" s="180"/>
      <c r="N10" s="132" t="s">
        <v>14</v>
      </c>
      <c r="O10" s="195" t="s">
        <v>263</v>
      </c>
      <c r="P10" s="184"/>
      <c r="Q10" s="184"/>
      <c r="R10" s="180"/>
      <c r="S10" s="111"/>
      <c r="T10" s="189"/>
      <c r="U10" s="122"/>
      <c r="V10" s="122"/>
      <c r="W10" s="122"/>
      <c r="X10" s="122"/>
      <c r="Y10" s="122"/>
      <c r="Z10" s="122"/>
      <c r="AA10" s="122"/>
      <c r="AB10" s="122"/>
      <c r="AC10" s="122"/>
      <c r="AD10" s="122"/>
      <c r="AE10" s="122"/>
      <c r="AF10" s="122"/>
      <c r="AG10" s="122"/>
      <c r="AH10" s="122"/>
      <c r="AI10" s="122"/>
    </row>
    <row r="11" spans="1:35" ht="19.5" customHeight="1" x14ac:dyDescent="0.2">
      <c r="A11" s="189"/>
      <c r="B11" s="111"/>
      <c r="C11" s="177" t="s">
        <v>15</v>
      </c>
      <c r="D11" s="178"/>
      <c r="E11" s="196"/>
      <c r="F11" s="184"/>
      <c r="G11" s="184"/>
      <c r="H11" s="184"/>
      <c r="I11" s="184"/>
      <c r="J11" s="184"/>
      <c r="K11" s="184"/>
      <c r="L11" s="184"/>
      <c r="M11" s="184"/>
      <c r="N11" s="180"/>
      <c r="O11" s="197"/>
      <c r="P11" s="182"/>
      <c r="Q11" s="182"/>
      <c r="R11" s="178"/>
      <c r="S11" s="111"/>
      <c r="T11" s="189"/>
      <c r="U11" s="122"/>
      <c r="V11" s="122"/>
      <c r="W11" s="122"/>
      <c r="X11" s="122"/>
      <c r="Y11" s="122"/>
      <c r="Z11" s="122"/>
      <c r="AA11" s="122"/>
      <c r="AB11" s="122"/>
      <c r="AC11" s="122"/>
      <c r="AD11" s="122"/>
      <c r="AE11" s="122"/>
      <c r="AF11" s="122"/>
      <c r="AG11" s="122"/>
      <c r="AH11" s="122"/>
      <c r="AI11" s="122"/>
    </row>
    <row r="12" spans="1:35" ht="19.5" customHeight="1" x14ac:dyDescent="0.2">
      <c r="A12" s="189"/>
      <c r="B12" s="111"/>
      <c r="C12" s="177" t="s">
        <v>17</v>
      </c>
      <c r="D12" s="178"/>
      <c r="E12" s="196">
        <v>9925319951</v>
      </c>
      <c r="F12" s="184"/>
      <c r="G12" s="184"/>
      <c r="H12" s="184"/>
      <c r="I12" s="184"/>
      <c r="J12" s="184"/>
      <c r="K12" s="180"/>
      <c r="L12" s="133"/>
      <c r="M12" s="177" t="s">
        <v>18</v>
      </c>
      <c r="N12" s="178"/>
      <c r="O12" s="198">
        <v>30147</v>
      </c>
      <c r="P12" s="184"/>
      <c r="Q12" s="184"/>
      <c r="R12" s="180"/>
      <c r="S12" s="111"/>
      <c r="T12" s="189"/>
      <c r="U12" s="122"/>
      <c r="V12" s="122"/>
      <c r="W12" s="122"/>
      <c r="X12" s="122"/>
      <c r="Y12" s="122"/>
      <c r="Z12" s="122"/>
      <c r="AA12" s="122"/>
      <c r="AB12" s="122"/>
      <c r="AC12" s="122"/>
      <c r="AD12" s="122"/>
      <c r="AE12" s="122"/>
      <c r="AF12" s="122"/>
      <c r="AG12" s="122"/>
      <c r="AH12" s="122"/>
      <c r="AI12" s="122"/>
    </row>
    <row r="13" spans="1:35" ht="19.5" customHeight="1" x14ac:dyDescent="0.2">
      <c r="A13" s="189"/>
      <c r="B13" s="111"/>
      <c r="C13" s="177" t="s">
        <v>2</v>
      </c>
      <c r="D13" s="178"/>
      <c r="E13" s="199" t="str">
        <f>E5&amp;"-"&amp;F5</f>
        <v>2025-2026</v>
      </c>
      <c r="F13" s="182"/>
      <c r="G13" s="182"/>
      <c r="H13" s="182"/>
      <c r="I13" s="182"/>
      <c r="J13" s="178"/>
      <c r="K13" s="177" t="s">
        <v>19</v>
      </c>
      <c r="L13" s="182"/>
      <c r="M13" s="182"/>
      <c r="N13" s="178"/>
      <c r="O13" s="197" t="str">
        <f>(DATA!E5)+1&amp;" - "&amp;(DATA!F5)+1</f>
        <v>2026 - 2027</v>
      </c>
      <c r="P13" s="182"/>
      <c r="Q13" s="182"/>
      <c r="R13" s="178"/>
      <c r="S13" s="111"/>
      <c r="T13" s="189"/>
      <c r="U13" s="122"/>
      <c r="V13" s="122"/>
      <c r="W13" s="122"/>
      <c r="X13" s="122"/>
      <c r="Y13" s="122"/>
      <c r="Z13" s="122"/>
      <c r="AA13" s="122"/>
      <c r="AB13" s="122"/>
      <c r="AC13" s="122"/>
      <c r="AD13" s="122"/>
      <c r="AE13" s="122"/>
      <c r="AF13" s="122"/>
      <c r="AG13" s="122"/>
      <c r="AH13" s="122"/>
      <c r="AI13" s="122"/>
    </row>
    <row r="14" spans="1:35" ht="19.5" customHeight="1" x14ac:dyDescent="0.2">
      <c r="A14" s="189"/>
      <c r="B14" s="111"/>
      <c r="C14" s="186" t="s">
        <v>20</v>
      </c>
      <c r="D14" s="178"/>
      <c r="E14" s="200"/>
      <c r="F14" s="201"/>
      <c r="G14" s="201"/>
      <c r="H14" s="201"/>
      <c r="I14" s="201"/>
      <c r="J14" s="202"/>
      <c r="K14" s="203" t="s">
        <v>21</v>
      </c>
      <c r="L14" s="184"/>
      <c r="M14" s="180"/>
      <c r="N14" s="134" t="s">
        <v>22</v>
      </c>
      <c r="O14" s="204">
        <v>7</v>
      </c>
      <c r="P14" s="184"/>
      <c r="Q14" s="184"/>
      <c r="R14" s="180"/>
      <c r="S14" s="111"/>
      <c r="T14" s="189"/>
      <c r="U14" s="122"/>
      <c r="V14" s="122"/>
      <c r="W14" s="122"/>
      <c r="X14" s="122"/>
      <c r="Y14" s="122"/>
      <c r="Z14" s="122"/>
      <c r="AA14" s="122"/>
      <c r="AB14" s="122"/>
      <c r="AC14" s="122"/>
      <c r="AD14" s="122"/>
      <c r="AE14" s="122"/>
      <c r="AF14" s="122"/>
      <c r="AG14" s="122"/>
      <c r="AH14" s="122"/>
      <c r="AI14" s="122"/>
    </row>
    <row r="15" spans="1:35" ht="19.5" customHeight="1" x14ac:dyDescent="0.2">
      <c r="A15" s="189"/>
      <c r="B15" s="111"/>
      <c r="C15" s="111"/>
      <c r="D15" s="205"/>
      <c r="E15" s="173"/>
      <c r="F15" s="173"/>
      <c r="G15" s="173"/>
      <c r="H15" s="173"/>
      <c r="I15" s="173"/>
      <c r="J15" s="173"/>
      <c r="K15" s="173"/>
      <c r="L15" s="173"/>
      <c r="M15" s="173"/>
      <c r="N15" s="173"/>
      <c r="O15" s="173"/>
      <c r="P15" s="173"/>
      <c r="Q15" s="173"/>
      <c r="R15" s="111"/>
      <c r="S15" s="111"/>
      <c r="T15" s="189"/>
      <c r="U15" s="122"/>
      <c r="V15" s="122"/>
      <c r="W15" s="122"/>
      <c r="X15" s="122"/>
      <c r="Y15" s="122"/>
      <c r="Z15" s="122"/>
      <c r="AA15" s="122"/>
      <c r="AB15" s="122"/>
      <c r="AC15" s="122"/>
      <c r="AD15" s="122"/>
      <c r="AE15" s="122"/>
      <c r="AF15" s="122"/>
      <c r="AG15" s="122"/>
      <c r="AH15" s="122"/>
      <c r="AI15" s="122"/>
    </row>
    <row r="16" spans="1:35" ht="20.25" customHeight="1" x14ac:dyDescent="0.2">
      <c r="A16" s="189"/>
      <c r="B16" s="206" t="s">
        <v>255</v>
      </c>
      <c r="C16" s="182"/>
      <c r="D16" s="178"/>
      <c r="E16" s="179">
        <v>3216</v>
      </c>
      <c r="F16" s="207"/>
      <c r="G16" s="267" t="s">
        <v>23</v>
      </c>
      <c r="H16" s="267"/>
      <c r="I16" s="267"/>
      <c r="J16" s="267"/>
      <c r="K16" s="115"/>
      <c r="L16" s="115"/>
      <c r="M16" s="115"/>
      <c r="N16" s="115"/>
      <c r="O16" s="115"/>
      <c r="P16" s="115"/>
      <c r="Q16" s="115"/>
      <c r="R16" s="111"/>
      <c r="S16" s="111"/>
      <c r="T16" s="189"/>
      <c r="U16" s="122"/>
      <c r="V16" s="122"/>
      <c r="W16" s="122"/>
      <c r="X16" s="122"/>
      <c r="Y16" s="122"/>
      <c r="Z16" s="122"/>
      <c r="AA16" s="122"/>
      <c r="AB16" s="122"/>
      <c r="AC16" s="122"/>
      <c r="AD16" s="122"/>
      <c r="AE16" s="122"/>
      <c r="AF16" s="122"/>
      <c r="AG16" s="122"/>
      <c r="AH16" s="122"/>
      <c r="AI16" s="122"/>
    </row>
    <row r="17" spans="1:35" ht="20.25" customHeight="1" x14ac:dyDescent="0.2">
      <c r="A17" s="189"/>
      <c r="B17" s="206" t="s">
        <v>256</v>
      </c>
      <c r="C17" s="182"/>
      <c r="D17" s="178"/>
      <c r="E17" s="179">
        <v>4968</v>
      </c>
      <c r="F17" s="207"/>
      <c r="G17" s="267"/>
      <c r="H17" s="267"/>
      <c r="I17" s="267"/>
      <c r="J17" s="267"/>
      <c r="K17" s="115"/>
      <c r="L17" s="115"/>
      <c r="M17" s="115"/>
      <c r="N17" s="115"/>
      <c r="O17" s="115"/>
      <c r="P17" s="115"/>
      <c r="Q17" s="115"/>
      <c r="R17" s="111"/>
      <c r="S17" s="111"/>
      <c r="T17" s="189"/>
      <c r="U17" s="122"/>
      <c r="V17" s="122"/>
      <c r="W17" s="122"/>
      <c r="X17" s="122"/>
      <c r="Y17" s="122"/>
      <c r="Z17" s="122"/>
      <c r="AA17" s="122"/>
      <c r="AB17" s="122"/>
      <c r="AC17" s="122"/>
      <c r="AD17" s="122"/>
      <c r="AE17" s="122"/>
      <c r="AF17" s="122"/>
      <c r="AG17" s="122"/>
      <c r="AH17" s="122"/>
      <c r="AI17" s="122"/>
    </row>
    <row r="18" spans="1:35" ht="20.25" customHeight="1" x14ac:dyDescent="0.2">
      <c r="A18" s="189"/>
      <c r="B18" s="206" t="s">
        <v>25</v>
      </c>
      <c r="C18" s="182"/>
      <c r="D18" s="178"/>
      <c r="E18" s="179">
        <v>0</v>
      </c>
      <c r="F18" s="207"/>
      <c r="G18" s="211">
        <v>0</v>
      </c>
      <c r="H18" s="211"/>
      <c r="I18" s="211">
        <v>0</v>
      </c>
      <c r="J18" s="211"/>
      <c r="K18" s="115"/>
      <c r="L18" s="115"/>
      <c r="M18" s="115"/>
      <c r="N18" s="115"/>
      <c r="O18" s="115"/>
      <c r="P18" s="115"/>
      <c r="Q18" s="115"/>
      <c r="R18" s="111"/>
      <c r="S18" s="111"/>
      <c r="T18" s="189"/>
      <c r="U18" s="122"/>
      <c r="V18" s="122"/>
      <c r="W18" s="122"/>
      <c r="X18" s="122"/>
      <c r="Y18" s="122"/>
      <c r="Z18" s="122"/>
      <c r="AA18" s="122"/>
      <c r="AB18" s="122"/>
      <c r="AC18" s="122"/>
      <c r="AD18" s="122"/>
      <c r="AE18" s="122"/>
      <c r="AF18" s="122"/>
      <c r="AG18" s="122"/>
      <c r="AH18" s="122"/>
      <c r="AI18" s="122"/>
    </row>
    <row r="19" spans="1:35" ht="30.75" customHeight="1" x14ac:dyDescent="0.2">
      <c r="A19" s="189"/>
      <c r="B19" s="214" t="s">
        <v>26</v>
      </c>
      <c r="C19" s="206"/>
      <c r="D19" s="215"/>
      <c r="E19" s="179">
        <v>0</v>
      </c>
      <c r="F19" s="208"/>
      <c r="G19" s="209" t="s">
        <v>27</v>
      </c>
      <c r="H19" s="210"/>
      <c r="I19" s="210"/>
      <c r="J19" s="210"/>
      <c r="K19" s="182"/>
      <c r="L19" s="178"/>
      <c r="M19" s="212" t="s">
        <v>28</v>
      </c>
      <c r="N19" s="182"/>
      <c r="O19" s="182"/>
      <c r="P19" s="178"/>
      <c r="Q19" s="213" t="s">
        <v>29</v>
      </c>
      <c r="R19" s="182"/>
      <c r="S19" s="178"/>
      <c r="T19" s="189"/>
      <c r="U19" s="122"/>
      <c r="V19" s="122"/>
      <c r="W19" s="145" t="s">
        <v>30</v>
      </c>
      <c r="X19" s="146" t="s">
        <v>31</v>
      </c>
      <c r="Y19" s="258" t="s">
        <v>32</v>
      </c>
      <c r="Z19" s="259"/>
      <c r="AA19" s="260"/>
      <c r="AB19" s="122"/>
      <c r="AC19" s="122"/>
      <c r="AD19" s="122"/>
      <c r="AE19" s="122"/>
      <c r="AF19" s="122"/>
      <c r="AG19" s="122"/>
      <c r="AH19" s="122"/>
      <c r="AI19" s="122"/>
    </row>
    <row r="20" spans="1:35" ht="20.25" customHeight="1" x14ac:dyDescent="0.25">
      <c r="A20" s="189"/>
      <c r="B20" s="214" t="s">
        <v>33</v>
      </c>
      <c r="C20" s="206"/>
      <c r="D20" s="215"/>
      <c r="E20" s="179">
        <v>0</v>
      </c>
      <c r="F20" s="208"/>
      <c r="G20" s="216" t="s">
        <v>34</v>
      </c>
      <c r="H20" s="182"/>
      <c r="I20" s="182"/>
      <c r="J20" s="178"/>
      <c r="K20" s="217">
        <v>0</v>
      </c>
      <c r="L20" s="180"/>
      <c r="M20" s="218" t="s">
        <v>35</v>
      </c>
      <c r="N20" s="178"/>
      <c r="O20" s="179">
        <v>0</v>
      </c>
      <c r="P20" s="180"/>
      <c r="Q20" s="219" t="str">
        <f t="shared" ref="Q20:Q31" si="0">B26</f>
        <v>માર્ચ - 2025</v>
      </c>
      <c r="R20" s="178"/>
      <c r="S20" s="113">
        <v>0</v>
      </c>
      <c r="T20" s="189"/>
      <c r="U20" s="122">
        <v>31</v>
      </c>
      <c r="V20" s="122"/>
      <c r="W20" s="147">
        <v>0</v>
      </c>
      <c r="X20" s="148" t="str">
        <f t="shared" ref="X20:X31" si="1">B26</f>
        <v>માર્ચ - 2025</v>
      </c>
      <c r="Y20" s="261"/>
      <c r="Z20" s="250"/>
      <c r="AA20" s="262"/>
      <c r="AB20" s="122"/>
      <c r="AC20" s="122"/>
      <c r="AD20" s="122"/>
      <c r="AE20" s="122"/>
      <c r="AF20" s="122"/>
      <c r="AG20" s="122"/>
      <c r="AH20" s="122"/>
      <c r="AI20" s="122"/>
    </row>
    <row r="21" spans="1:35" ht="20.25" customHeight="1" x14ac:dyDescent="0.25">
      <c r="A21" s="189"/>
      <c r="B21" s="214" t="s">
        <v>36</v>
      </c>
      <c r="C21" s="206"/>
      <c r="D21" s="215"/>
      <c r="E21" s="179">
        <v>0</v>
      </c>
      <c r="F21" s="208"/>
      <c r="G21" s="216"/>
      <c r="H21" s="182"/>
      <c r="I21" s="182"/>
      <c r="J21" s="178"/>
      <c r="K21" s="217"/>
      <c r="L21" s="180"/>
      <c r="M21" s="218" t="s">
        <v>37</v>
      </c>
      <c r="N21" s="178"/>
      <c r="O21" s="179">
        <v>0</v>
      </c>
      <c r="P21" s="180"/>
      <c r="Q21" s="219" t="str">
        <f t="shared" si="0"/>
        <v>એપ્રિલ - 2025</v>
      </c>
      <c r="R21" s="178"/>
      <c r="S21" s="113">
        <f t="shared" ref="S21:S28" si="2">S20</f>
        <v>0</v>
      </c>
      <c r="T21" s="189"/>
      <c r="U21" s="122">
        <v>30</v>
      </c>
      <c r="V21" s="122"/>
      <c r="W21" s="147">
        <v>0</v>
      </c>
      <c r="X21" s="148" t="str">
        <f t="shared" si="1"/>
        <v>એપ્રિલ - 2025</v>
      </c>
      <c r="Y21" s="261"/>
      <c r="Z21" s="250"/>
      <c r="AA21" s="262"/>
      <c r="AB21" s="122"/>
      <c r="AC21" s="122"/>
      <c r="AD21" s="122"/>
      <c r="AE21" s="122"/>
      <c r="AF21" s="122"/>
      <c r="AG21" s="122"/>
      <c r="AH21" s="122"/>
      <c r="AI21" s="122"/>
    </row>
    <row r="22" spans="1:35" ht="20.25" customHeight="1" x14ac:dyDescent="0.25">
      <c r="A22" s="189"/>
      <c r="B22" s="214" t="s">
        <v>38</v>
      </c>
      <c r="C22" s="206"/>
      <c r="D22" s="215"/>
      <c r="E22" s="179">
        <v>0</v>
      </c>
      <c r="F22" s="208"/>
      <c r="G22" s="216" t="s">
        <v>39</v>
      </c>
      <c r="H22" s="182"/>
      <c r="I22" s="182"/>
      <c r="J22" s="178"/>
      <c r="K22" s="217">
        <v>0</v>
      </c>
      <c r="L22" s="180"/>
      <c r="M22" s="218" t="s">
        <v>40</v>
      </c>
      <c r="N22" s="178"/>
      <c r="O22" s="179">
        <v>53600</v>
      </c>
      <c r="P22" s="180"/>
      <c r="Q22" s="219" t="str">
        <f t="shared" si="0"/>
        <v>મે - 2025</v>
      </c>
      <c r="R22" s="178"/>
      <c r="S22" s="113">
        <f t="shared" si="2"/>
        <v>0</v>
      </c>
      <c r="T22" s="189"/>
      <c r="U22" s="122">
        <v>31</v>
      </c>
      <c r="V22" s="122"/>
      <c r="W22" s="147">
        <v>0</v>
      </c>
      <c r="X22" s="148" t="str">
        <f t="shared" si="1"/>
        <v>મે - 2025</v>
      </c>
      <c r="Y22" s="261"/>
      <c r="Z22" s="250"/>
      <c r="AA22" s="262"/>
      <c r="AB22" s="122"/>
      <c r="AC22" s="122"/>
      <c r="AD22" s="122"/>
      <c r="AE22" s="122"/>
      <c r="AF22" s="122"/>
      <c r="AG22" s="122"/>
      <c r="AH22" s="122"/>
      <c r="AI22" s="122"/>
    </row>
    <row r="23" spans="1:35" ht="18" customHeight="1" x14ac:dyDescent="0.25">
      <c r="A23" s="189"/>
      <c r="B23" s="221" t="s">
        <v>43</v>
      </c>
      <c r="C23" s="222"/>
      <c r="D23" s="223"/>
      <c r="E23" s="220"/>
      <c r="F23" s="180"/>
      <c r="G23" s="216" t="s">
        <v>41</v>
      </c>
      <c r="H23" s="182"/>
      <c r="I23" s="182"/>
      <c r="J23" s="178"/>
      <c r="K23" s="217">
        <v>0</v>
      </c>
      <c r="L23" s="180"/>
      <c r="M23" s="218" t="s">
        <v>42</v>
      </c>
      <c r="N23" s="178"/>
      <c r="O23" s="179">
        <v>0</v>
      </c>
      <c r="P23" s="180"/>
      <c r="Q23" s="219" t="str">
        <f t="shared" si="0"/>
        <v>જૂન - 2025</v>
      </c>
      <c r="R23" s="178"/>
      <c r="S23" s="113">
        <f t="shared" si="2"/>
        <v>0</v>
      </c>
      <c r="T23" s="189"/>
      <c r="U23" s="122">
        <v>30</v>
      </c>
      <c r="V23" s="122"/>
      <c r="W23" s="147">
        <v>0</v>
      </c>
      <c r="X23" s="148" t="str">
        <f t="shared" si="1"/>
        <v>જૂન - 2025</v>
      </c>
      <c r="Y23" s="261"/>
      <c r="Z23" s="250"/>
      <c r="AA23" s="262"/>
      <c r="AB23" s="122"/>
      <c r="AC23" s="122"/>
      <c r="AD23" s="122"/>
      <c r="AE23" s="122"/>
      <c r="AF23" s="122"/>
      <c r="AG23" s="122"/>
      <c r="AH23" s="122"/>
      <c r="AI23" s="122"/>
    </row>
    <row r="24" spans="1:35" ht="18" customHeight="1" x14ac:dyDescent="0.25">
      <c r="A24" s="189"/>
      <c r="B24" s="221" t="s">
        <v>43</v>
      </c>
      <c r="C24" s="222"/>
      <c r="D24" s="223"/>
      <c r="E24" s="220"/>
      <c r="F24" s="180"/>
      <c r="G24" s="216" t="s">
        <v>44</v>
      </c>
      <c r="H24" s="182"/>
      <c r="I24" s="182"/>
      <c r="J24" s="178"/>
      <c r="K24" s="217">
        <v>6575</v>
      </c>
      <c r="L24" s="180"/>
      <c r="M24" s="218" t="s">
        <v>45</v>
      </c>
      <c r="N24" s="178"/>
      <c r="O24" s="224">
        <v>0</v>
      </c>
      <c r="P24" s="180"/>
      <c r="Q24" s="219" t="str">
        <f t="shared" si="0"/>
        <v>જુલાઈ - 2025</v>
      </c>
      <c r="R24" s="178"/>
      <c r="S24" s="113">
        <f t="shared" si="2"/>
        <v>0</v>
      </c>
      <c r="T24" s="189"/>
      <c r="U24" s="122">
        <v>31</v>
      </c>
      <c r="V24" s="122"/>
      <c r="W24" s="147">
        <v>0</v>
      </c>
      <c r="X24" s="148" t="str">
        <f t="shared" si="1"/>
        <v>જુલાઈ - 2025</v>
      </c>
      <c r="Y24" s="261"/>
      <c r="Z24" s="250"/>
      <c r="AA24" s="262"/>
      <c r="AB24" s="122"/>
      <c r="AC24" s="122"/>
      <c r="AD24" s="122"/>
      <c r="AE24" s="122"/>
      <c r="AF24" s="122"/>
      <c r="AG24" s="122"/>
      <c r="AH24" s="122"/>
      <c r="AI24" s="122"/>
    </row>
    <row r="25" spans="1:35" ht="18" customHeight="1" x14ac:dyDescent="0.25">
      <c r="A25" s="189"/>
      <c r="B25" s="116" t="s">
        <v>31</v>
      </c>
      <c r="C25" s="117" t="s">
        <v>46</v>
      </c>
      <c r="D25" s="118" t="s">
        <v>47</v>
      </c>
      <c r="E25" s="225" t="s">
        <v>48</v>
      </c>
      <c r="F25" s="178"/>
      <c r="G25" s="216" t="s">
        <v>49</v>
      </c>
      <c r="H25" s="182"/>
      <c r="I25" s="182"/>
      <c r="J25" s="178"/>
      <c r="K25" s="217">
        <v>0</v>
      </c>
      <c r="L25" s="180"/>
      <c r="M25" s="218" t="s">
        <v>50</v>
      </c>
      <c r="N25" s="178"/>
      <c r="O25" s="179">
        <v>0</v>
      </c>
      <c r="P25" s="180"/>
      <c r="Q25" s="219" t="str">
        <f t="shared" si="0"/>
        <v>ઓગષ્ટ - 2025</v>
      </c>
      <c r="R25" s="178"/>
      <c r="S25" s="113">
        <f t="shared" si="2"/>
        <v>0</v>
      </c>
      <c r="T25" s="189"/>
      <c r="U25" s="122">
        <v>31</v>
      </c>
      <c r="V25" s="122"/>
      <c r="W25" s="147">
        <v>0</v>
      </c>
      <c r="X25" s="148" t="str">
        <f t="shared" si="1"/>
        <v>ઓગષ્ટ - 2025</v>
      </c>
      <c r="Y25" s="261"/>
      <c r="Z25" s="250"/>
      <c r="AA25" s="262"/>
      <c r="AB25" s="122"/>
      <c r="AC25" s="122"/>
      <c r="AD25" s="122"/>
      <c r="AE25" s="122"/>
      <c r="AF25" s="122"/>
      <c r="AG25" s="122"/>
      <c r="AH25" s="122"/>
      <c r="AI25" s="122"/>
    </row>
    <row r="26" spans="1:35" ht="18" customHeight="1" x14ac:dyDescent="0.25">
      <c r="A26" s="189"/>
      <c r="B26" s="119" t="str">
        <f>"માર્ચ - "&amp;E5</f>
        <v>માર્ચ - 2025</v>
      </c>
      <c r="C26" s="120">
        <v>0.08</v>
      </c>
      <c r="D26" s="120">
        <v>0.53</v>
      </c>
      <c r="E26" s="220">
        <v>800</v>
      </c>
      <c r="F26" s="180"/>
      <c r="G26" s="216" t="s">
        <v>51</v>
      </c>
      <c r="H26" s="182"/>
      <c r="I26" s="182"/>
      <c r="J26" s="178"/>
      <c r="K26" s="217">
        <v>0</v>
      </c>
      <c r="L26" s="180"/>
      <c r="M26" s="226" t="s">
        <v>52</v>
      </c>
      <c r="N26" s="227"/>
      <c r="O26" s="179">
        <v>200</v>
      </c>
      <c r="P26" s="180"/>
      <c r="Q26" s="219" t="str">
        <f t="shared" si="0"/>
        <v>સપ્ટે. - 2025</v>
      </c>
      <c r="R26" s="178"/>
      <c r="S26" s="113">
        <f t="shared" si="2"/>
        <v>0</v>
      </c>
      <c r="T26" s="189"/>
      <c r="U26" s="122">
        <v>30</v>
      </c>
      <c r="V26" s="122"/>
      <c r="W26" s="147">
        <v>0</v>
      </c>
      <c r="X26" s="148" t="str">
        <f t="shared" si="1"/>
        <v>સપ્ટે. - 2025</v>
      </c>
      <c r="Y26" s="263" t="s">
        <v>53</v>
      </c>
      <c r="Z26" s="250"/>
      <c r="AA26" s="262"/>
      <c r="AB26" s="122"/>
      <c r="AC26" s="122"/>
      <c r="AD26" s="122"/>
      <c r="AE26" s="122"/>
      <c r="AF26" s="122"/>
      <c r="AG26" s="122"/>
      <c r="AH26" s="122"/>
      <c r="AI26" s="122"/>
    </row>
    <row r="27" spans="1:35" ht="18" customHeight="1" x14ac:dyDescent="0.25">
      <c r="A27" s="189"/>
      <c r="B27" s="119" t="str">
        <f>"એપ્રિલ - "&amp;E5</f>
        <v>એપ્રિલ - 2025</v>
      </c>
      <c r="C27" s="120">
        <v>0.08</v>
      </c>
      <c r="D27" s="120">
        <v>0.55000000000000004</v>
      </c>
      <c r="E27" s="220">
        <f t="shared" ref="E27:E37" si="3">E26</f>
        <v>800</v>
      </c>
      <c r="F27" s="180"/>
      <c r="G27" s="216" t="s">
        <v>54</v>
      </c>
      <c r="H27" s="182"/>
      <c r="I27" s="182"/>
      <c r="J27" s="178"/>
      <c r="K27" s="217">
        <v>0</v>
      </c>
      <c r="L27" s="180"/>
      <c r="M27" s="226" t="s">
        <v>55</v>
      </c>
      <c r="N27" s="227"/>
      <c r="O27" s="179">
        <v>0</v>
      </c>
      <c r="P27" s="180"/>
      <c r="Q27" s="219" t="str">
        <f t="shared" si="0"/>
        <v>ઓકટો.- 2025</v>
      </c>
      <c r="R27" s="178"/>
      <c r="S27" s="113">
        <f t="shared" si="2"/>
        <v>0</v>
      </c>
      <c r="T27" s="189"/>
      <c r="U27" s="122">
        <v>31</v>
      </c>
      <c r="V27" s="122"/>
      <c r="W27" s="147">
        <v>0</v>
      </c>
      <c r="X27" s="148" t="str">
        <f t="shared" si="1"/>
        <v>ઓકટો.- 2025</v>
      </c>
      <c r="Y27" s="261"/>
      <c r="Z27" s="250"/>
      <c r="AA27" s="262"/>
      <c r="AB27" s="122"/>
      <c r="AC27" s="122"/>
      <c r="AD27" s="122"/>
      <c r="AE27" s="122"/>
      <c r="AF27" s="122"/>
      <c r="AG27" s="122"/>
      <c r="AH27" s="122"/>
      <c r="AI27" s="122"/>
    </row>
    <row r="28" spans="1:35" ht="18" customHeight="1" x14ac:dyDescent="0.25">
      <c r="A28" s="189"/>
      <c r="B28" s="119" t="str">
        <f>"મે - "&amp;E5</f>
        <v>મે - 2025</v>
      </c>
      <c r="C28" s="120">
        <v>0.08</v>
      </c>
      <c r="D28" s="120">
        <v>0.55000000000000004</v>
      </c>
      <c r="E28" s="220">
        <f t="shared" si="3"/>
        <v>800</v>
      </c>
      <c r="F28" s="180"/>
      <c r="G28" s="216" t="s">
        <v>56</v>
      </c>
      <c r="H28" s="182"/>
      <c r="I28" s="182"/>
      <c r="J28" s="178"/>
      <c r="K28" s="217">
        <v>0</v>
      </c>
      <c r="L28" s="180"/>
      <c r="M28" s="218" t="s">
        <v>57</v>
      </c>
      <c r="N28" s="178"/>
      <c r="O28" s="179">
        <v>0</v>
      </c>
      <c r="P28" s="180"/>
      <c r="Q28" s="231" t="str">
        <f t="shared" si="0"/>
        <v>નવે. - 2025</v>
      </c>
      <c r="R28" s="232"/>
      <c r="S28" s="149">
        <f t="shared" si="2"/>
        <v>0</v>
      </c>
      <c r="T28" s="189"/>
      <c r="U28" s="122">
        <v>30</v>
      </c>
      <c r="V28" s="122"/>
      <c r="W28" s="147">
        <v>0</v>
      </c>
      <c r="X28" s="148" t="str">
        <f t="shared" si="1"/>
        <v>નવે. - 2025</v>
      </c>
      <c r="Y28" s="261"/>
      <c r="Z28" s="250"/>
      <c r="AA28" s="262"/>
      <c r="AB28" s="122"/>
      <c r="AC28" s="122"/>
      <c r="AD28" s="122"/>
      <c r="AE28" s="122"/>
      <c r="AF28" s="122"/>
      <c r="AG28" s="122"/>
      <c r="AH28" s="122"/>
      <c r="AI28" s="122"/>
    </row>
    <row r="29" spans="1:35" ht="18" customHeight="1" x14ac:dyDescent="0.25">
      <c r="A29" s="189"/>
      <c r="B29" s="119" t="str">
        <f>"જૂન - "&amp;E5</f>
        <v>જૂન - 2025</v>
      </c>
      <c r="C29" s="120">
        <v>0.08</v>
      </c>
      <c r="D29" s="120">
        <v>0.55000000000000004</v>
      </c>
      <c r="E29" s="220">
        <f t="shared" si="3"/>
        <v>800</v>
      </c>
      <c r="F29" s="180"/>
      <c r="G29" s="216" t="s">
        <v>58</v>
      </c>
      <c r="H29" s="182"/>
      <c r="I29" s="182"/>
      <c r="J29" s="178"/>
      <c r="K29" s="217">
        <v>0</v>
      </c>
      <c r="L29" s="184"/>
      <c r="M29" s="228" t="s">
        <v>59</v>
      </c>
      <c r="N29" s="178"/>
      <c r="O29" s="179">
        <v>25000</v>
      </c>
      <c r="P29" s="229"/>
      <c r="Q29" s="270" t="str">
        <f t="shared" si="0"/>
        <v>ડિસે. - 2025</v>
      </c>
      <c r="R29" s="247"/>
      <c r="S29" s="150">
        <f>'NEW REGIME'!K60</f>
        <v>0</v>
      </c>
      <c r="T29" s="189"/>
      <c r="U29" s="122">
        <v>31</v>
      </c>
      <c r="V29" s="122"/>
      <c r="W29" s="147">
        <v>0</v>
      </c>
      <c r="X29" s="148" t="str">
        <f t="shared" si="1"/>
        <v>ડિસે. - 2025</v>
      </c>
      <c r="Y29" s="261"/>
      <c r="Z29" s="250"/>
      <c r="AA29" s="262"/>
      <c r="AB29" s="122"/>
      <c r="AC29" s="122"/>
      <c r="AD29" s="122"/>
      <c r="AE29" s="122"/>
      <c r="AF29" s="122"/>
      <c r="AG29" s="122"/>
      <c r="AH29" s="122"/>
      <c r="AI29" s="122"/>
    </row>
    <row r="30" spans="1:35" ht="18" customHeight="1" x14ac:dyDescent="0.25">
      <c r="A30" s="189"/>
      <c r="B30" s="119" t="str">
        <f>"જુલાઈ - "&amp;E5</f>
        <v>જુલાઈ - 2025</v>
      </c>
      <c r="C30" s="120">
        <v>0.08</v>
      </c>
      <c r="D30" s="120">
        <v>0.55000000000000004</v>
      </c>
      <c r="E30" s="220">
        <f t="shared" si="3"/>
        <v>800</v>
      </c>
      <c r="F30" s="180"/>
      <c r="G30" s="216" t="s">
        <v>60</v>
      </c>
      <c r="H30" s="182"/>
      <c r="I30" s="182"/>
      <c r="J30" s="178"/>
      <c r="K30" s="217">
        <v>0</v>
      </c>
      <c r="L30" s="184"/>
      <c r="M30" s="228" t="s">
        <v>61</v>
      </c>
      <c r="N30" s="178"/>
      <c r="O30" s="179">
        <v>0</v>
      </c>
      <c r="P30" s="229"/>
      <c r="Q30" s="230" t="str">
        <f t="shared" si="0"/>
        <v>જાન્યુ. - 2026</v>
      </c>
      <c r="R30" s="178"/>
      <c r="S30" s="151">
        <f>'NEW REGIME'!K61</f>
        <v>0</v>
      </c>
      <c r="T30" s="189"/>
      <c r="U30" s="122">
        <v>31</v>
      </c>
      <c r="V30" s="122"/>
      <c r="W30" s="147">
        <v>0</v>
      </c>
      <c r="X30" s="148" t="str">
        <f t="shared" si="1"/>
        <v>જાન્યુ. - 2026</v>
      </c>
      <c r="Y30" s="261"/>
      <c r="Z30" s="250"/>
      <c r="AA30" s="262"/>
      <c r="AB30" s="122"/>
      <c r="AC30" s="122"/>
      <c r="AD30" s="122"/>
      <c r="AE30" s="122"/>
      <c r="AF30" s="122"/>
      <c r="AG30" s="122"/>
      <c r="AH30" s="122"/>
      <c r="AI30" s="122"/>
    </row>
    <row r="31" spans="1:35" ht="18" customHeight="1" x14ac:dyDescent="0.25">
      <c r="A31" s="189"/>
      <c r="B31" s="119" t="str">
        <f>"ઓગષ્ટ - "&amp;E5</f>
        <v>ઓગષ્ટ - 2025</v>
      </c>
      <c r="C31" s="120">
        <v>0.08</v>
      </c>
      <c r="D31" s="120">
        <v>0.55000000000000004</v>
      </c>
      <c r="E31" s="220">
        <f t="shared" si="3"/>
        <v>800</v>
      </c>
      <c r="F31" s="180"/>
      <c r="G31" s="216" t="s">
        <v>62</v>
      </c>
      <c r="H31" s="182"/>
      <c r="I31" s="182"/>
      <c r="J31" s="178"/>
      <c r="K31" s="217">
        <v>0</v>
      </c>
      <c r="L31" s="184"/>
      <c r="M31" s="228" t="s">
        <v>63</v>
      </c>
      <c r="N31" s="178"/>
      <c r="O31" s="179">
        <v>0</v>
      </c>
      <c r="P31" s="229"/>
      <c r="Q31" s="230" t="str">
        <f t="shared" si="0"/>
        <v>ફેબ્રુ. -2026</v>
      </c>
      <c r="R31" s="178"/>
      <c r="S31" s="151">
        <f>'NEW REGIME'!K62</f>
        <v>0</v>
      </c>
      <c r="T31" s="189"/>
      <c r="U31" s="122">
        <v>28</v>
      </c>
      <c r="V31" s="122"/>
      <c r="W31" s="152">
        <v>0</v>
      </c>
      <c r="X31" s="153" t="str">
        <f t="shared" si="1"/>
        <v>ફેબ્રુ. -2026</v>
      </c>
      <c r="Y31" s="264"/>
      <c r="Z31" s="252"/>
      <c r="AA31" s="265"/>
      <c r="AB31" s="122"/>
      <c r="AC31" s="122"/>
      <c r="AD31" s="122"/>
      <c r="AE31" s="122"/>
      <c r="AF31" s="122"/>
      <c r="AG31" s="122"/>
      <c r="AH31" s="122"/>
      <c r="AI31" s="122"/>
    </row>
    <row r="32" spans="1:35" ht="18" customHeight="1" x14ac:dyDescent="0.2">
      <c r="A32" s="189"/>
      <c r="B32" s="119" t="str">
        <f>"સપ્ટે. - "&amp;E5</f>
        <v>સપ્ટે. - 2025</v>
      </c>
      <c r="C32" s="120">
        <v>0.08</v>
      </c>
      <c r="D32" s="120">
        <v>0.55000000000000004</v>
      </c>
      <c r="E32" s="220">
        <f t="shared" si="3"/>
        <v>800</v>
      </c>
      <c r="F32" s="180"/>
      <c r="G32" s="216" t="s">
        <v>64</v>
      </c>
      <c r="H32" s="182"/>
      <c r="I32" s="182"/>
      <c r="J32" s="178"/>
      <c r="K32" s="217">
        <v>0</v>
      </c>
      <c r="L32" s="184"/>
      <c r="M32" s="257" t="s">
        <v>65</v>
      </c>
      <c r="N32" s="178"/>
      <c r="O32" s="179">
        <v>0</v>
      </c>
      <c r="P32" s="229"/>
      <c r="Q32" s="243" t="str">
        <f>IF(S29=0,"કુલ રીબેટ","કુલ ભરવાપાત્ર ટેક્ષ")</f>
        <v>કુલ રીબેટ</v>
      </c>
      <c r="R32" s="227"/>
      <c r="S32" s="191">
        <f>IF(S29=0,'NEW REGIME'!K64,'NEW REGIME'!M58)</f>
        <v>0</v>
      </c>
      <c r="T32" s="189"/>
      <c r="U32" s="122"/>
      <c r="V32" s="122"/>
      <c r="W32" s="122"/>
      <c r="X32" s="122"/>
      <c r="Y32" s="122"/>
      <c r="Z32" s="122"/>
      <c r="AA32" s="122"/>
      <c r="AB32" s="122"/>
      <c r="AC32" s="122"/>
      <c r="AD32" s="122"/>
      <c r="AE32" s="122"/>
      <c r="AF32" s="122"/>
      <c r="AG32" s="122"/>
      <c r="AH32" s="122"/>
      <c r="AI32" s="122"/>
    </row>
    <row r="33" spans="1:35" ht="18" customHeight="1" x14ac:dyDescent="0.2">
      <c r="A33" s="189"/>
      <c r="B33" s="119" t="str">
        <f>"ઓકટો.- "&amp;E5</f>
        <v>ઓકટો.- 2025</v>
      </c>
      <c r="C33" s="120">
        <v>0.08</v>
      </c>
      <c r="D33" s="120">
        <v>0.57999999999999996</v>
      </c>
      <c r="E33" s="220">
        <f t="shared" si="3"/>
        <v>800</v>
      </c>
      <c r="F33" s="180"/>
      <c r="G33" s="248"/>
      <c r="H33" s="246"/>
      <c r="I33" s="246"/>
      <c r="J33" s="246"/>
      <c r="K33" s="246"/>
      <c r="L33" s="246"/>
      <c r="M33" s="228" t="s">
        <v>66</v>
      </c>
      <c r="N33" s="178"/>
      <c r="O33" s="179">
        <v>0</v>
      </c>
      <c r="P33" s="229"/>
      <c r="Q33" s="173"/>
      <c r="R33" s="244"/>
      <c r="S33" s="192"/>
      <c r="T33" s="189"/>
      <c r="U33" s="122"/>
      <c r="V33" s="122"/>
      <c r="W33" s="122"/>
      <c r="X33" s="122"/>
      <c r="Y33" s="122"/>
      <c r="Z33" s="122"/>
      <c r="AA33" s="122"/>
      <c r="AB33" s="122"/>
      <c r="AC33" s="122"/>
      <c r="AD33" s="122"/>
      <c r="AE33" s="122"/>
      <c r="AF33" s="122"/>
      <c r="AG33" s="122"/>
      <c r="AH33" s="122"/>
      <c r="AI33" s="122"/>
    </row>
    <row r="34" spans="1:35" ht="18" customHeight="1" x14ac:dyDescent="0.2">
      <c r="A34" s="189"/>
      <c r="B34" s="119" t="str">
        <f>"નવે. - "&amp;E5</f>
        <v>નવે. - 2025</v>
      </c>
      <c r="C34" s="120">
        <v>0.08</v>
      </c>
      <c r="D34" s="120">
        <v>0.57999999999999996</v>
      </c>
      <c r="E34" s="220">
        <f t="shared" si="3"/>
        <v>800</v>
      </c>
      <c r="F34" s="180"/>
      <c r="G34" s="249"/>
      <c r="H34" s="250"/>
      <c r="I34" s="250"/>
      <c r="J34" s="250"/>
      <c r="K34" s="250"/>
      <c r="L34" s="173"/>
      <c r="M34" s="254" t="s">
        <v>67</v>
      </c>
      <c r="N34" s="255"/>
      <c r="O34" s="179">
        <v>0</v>
      </c>
      <c r="P34" s="229"/>
      <c r="Q34" s="154"/>
      <c r="R34" s="154"/>
      <c r="S34" s="135"/>
      <c r="T34" s="189"/>
      <c r="U34" s="122"/>
      <c r="V34" s="122"/>
      <c r="W34" s="122"/>
      <c r="X34" s="122"/>
      <c r="Y34" s="122"/>
      <c r="Z34" s="122"/>
      <c r="AA34" s="122"/>
      <c r="AB34" s="122"/>
      <c r="AC34" s="122"/>
      <c r="AD34" s="122"/>
      <c r="AE34" s="122"/>
      <c r="AF34" s="122"/>
      <c r="AG34" s="122"/>
      <c r="AH34" s="122"/>
      <c r="AI34" s="122"/>
    </row>
    <row r="35" spans="1:35" ht="18" customHeight="1" x14ac:dyDescent="0.2">
      <c r="A35" s="189"/>
      <c r="B35" s="119" t="str">
        <f>"ડિસે. - "&amp;E5</f>
        <v>ડિસે. - 2025</v>
      </c>
      <c r="C35" s="120">
        <v>0.08</v>
      </c>
      <c r="D35" s="120">
        <v>0.57999999999999996</v>
      </c>
      <c r="E35" s="220">
        <f t="shared" si="3"/>
        <v>800</v>
      </c>
      <c r="F35" s="180"/>
      <c r="G35" s="249"/>
      <c r="H35" s="250"/>
      <c r="I35" s="250"/>
      <c r="J35" s="250"/>
      <c r="K35" s="250"/>
      <c r="L35" s="173"/>
      <c r="M35" s="256" t="s">
        <v>68</v>
      </c>
      <c r="N35" s="178"/>
      <c r="O35" s="179">
        <v>0</v>
      </c>
      <c r="P35" s="229"/>
      <c r="Q35" s="135"/>
      <c r="R35" s="135"/>
      <c r="S35" s="135"/>
      <c r="T35" s="189"/>
      <c r="U35" s="122"/>
      <c r="V35" s="122"/>
      <c r="W35" s="122"/>
      <c r="X35" s="122"/>
      <c r="Y35" s="122"/>
      <c r="Z35" s="122"/>
      <c r="AA35" s="122"/>
      <c r="AB35" s="122"/>
      <c r="AC35" s="122"/>
      <c r="AD35" s="122"/>
      <c r="AE35" s="122"/>
      <c r="AF35" s="122"/>
      <c r="AG35" s="122"/>
      <c r="AH35" s="122"/>
      <c r="AI35" s="122"/>
    </row>
    <row r="36" spans="1:35" ht="18" customHeight="1" x14ac:dyDescent="0.2">
      <c r="A36" s="189"/>
      <c r="B36" s="119" t="str">
        <f>"જાન્યુ. - "&amp;F5</f>
        <v>જાન્યુ. - 2026</v>
      </c>
      <c r="C36" s="120">
        <v>0.08</v>
      </c>
      <c r="D36" s="120">
        <v>0.57999999999999996</v>
      </c>
      <c r="E36" s="220">
        <f t="shared" si="3"/>
        <v>800</v>
      </c>
      <c r="F36" s="180"/>
      <c r="G36" s="249"/>
      <c r="H36" s="250"/>
      <c r="I36" s="250"/>
      <c r="J36" s="250"/>
      <c r="K36" s="250"/>
      <c r="L36" s="173"/>
      <c r="M36" s="253"/>
      <c r="N36" s="246"/>
      <c r="O36" s="135"/>
      <c r="P36" s="135"/>
      <c r="Q36" s="135"/>
      <c r="R36" s="135"/>
      <c r="S36" s="135"/>
      <c r="T36" s="189"/>
      <c r="U36" s="122"/>
      <c r="V36" s="122"/>
      <c r="W36" s="122"/>
      <c r="X36" s="122"/>
      <c r="Y36" s="122"/>
      <c r="Z36" s="122"/>
      <c r="AA36" s="122"/>
      <c r="AB36" s="122"/>
      <c r="AC36" s="122"/>
      <c r="AD36" s="122"/>
      <c r="AE36" s="122"/>
      <c r="AF36" s="122"/>
      <c r="AG36" s="122"/>
      <c r="AH36" s="122"/>
      <c r="AI36" s="122"/>
    </row>
    <row r="37" spans="1:35" ht="18" customHeight="1" x14ac:dyDescent="0.2">
      <c r="A37" s="189"/>
      <c r="B37" s="119" t="str">
        <f>"ફેબ્રુ. -"&amp;F5</f>
        <v>ફેબ્રુ. -2026</v>
      </c>
      <c r="C37" s="120">
        <v>0.08</v>
      </c>
      <c r="D37" s="120">
        <v>0.57999999999999996</v>
      </c>
      <c r="E37" s="220">
        <f t="shared" si="3"/>
        <v>800</v>
      </c>
      <c r="F37" s="180"/>
      <c r="G37" s="251"/>
      <c r="H37" s="252"/>
      <c r="I37" s="252"/>
      <c r="J37" s="252"/>
      <c r="K37" s="252"/>
      <c r="L37" s="252"/>
      <c r="M37" s="252"/>
      <c r="N37" s="252"/>
      <c r="O37" s="135"/>
      <c r="P37" s="135"/>
      <c r="Q37" s="135"/>
      <c r="R37" s="135"/>
      <c r="S37" s="135"/>
      <c r="T37" s="189"/>
      <c r="U37" s="122"/>
      <c r="V37" s="122"/>
      <c r="W37" s="122"/>
      <c r="X37" s="122"/>
      <c r="Y37" s="122"/>
      <c r="Z37" s="122"/>
      <c r="AA37" s="122"/>
      <c r="AB37" s="122"/>
      <c r="AC37" s="122"/>
      <c r="AD37" s="122"/>
      <c r="AE37" s="122"/>
      <c r="AF37" s="122"/>
      <c r="AG37" s="122"/>
      <c r="AH37" s="122"/>
      <c r="AI37" s="122"/>
    </row>
    <row r="38" spans="1:35" ht="15" customHeight="1" x14ac:dyDescent="0.2">
      <c r="A38" s="190"/>
      <c r="B38" s="121"/>
      <c r="C38" s="121"/>
      <c r="D38" s="121"/>
      <c r="E38" s="121"/>
      <c r="F38" s="121"/>
      <c r="G38" s="121"/>
      <c r="H38" s="121"/>
      <c r="I38" s="121"/>
      <c r="J38" s="121"/>
      <c r="K38" s="121"/>
      <c r="L38" s="121"/>
      <c r="M38" s="121"/>
      <c r="N38" s="121"/>
      <c r="O38" s="121"/>
      <c r="P38" s="121"/>
      <c r="Q38" s="121"/>
      <c r="R38" s="121"/>
      <c r="S38" s="155"/>
      <c r="T38" s="190"/>
      <c r="U38" s="122"/>
      <c r="V38" s="122"/>
      <c r="W38" s="122"/>
      <c r="X38" s="122"/>
      <c r="Y38" s="122"/>
      <c r="Z38" s="122"/>
      <c r="AA38" s="122"/>
      <c r="AB38" s="122"/>
      <c r="AC38" s="122"/>
      <c r="AD38" s="122"/>
      <c r="AE38" s="122"/>
      <c r="AF38" s="122"/>
      <c r="AG38" s="122"/>
      <c r="AH38" s="122"/>
      <c r="AI38" s="122"/>
    </row>
    <row r="39" spans="1:35" ht="12.75" customHeight="1" x14ac:dyDescent="0.2">
      <c r="A39" s="122"/>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row>
    <row r="40" spans="1:35" ht="12.75" customHeight="1" x14ac:dyDescent="0.2">
      <c r="A40" s="122"/>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row>
    <row r="41" spans="1:35" ht="12.75" customHeight="1" x14ac:dyDescent="0.2">
      <c r="A41" s="122"/>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row>
    <row r="42" spans="1:35" ht="12.75" customHeight="1" x14ac:dyDescent="0.2">
      <c r="A42" s="122"/>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row>
    <row r="43" spans="1:35" ht="12.75" customHeight="1" x14ac:dyDescent="0.2">
      <c r="A43" s="122"/>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row>
    <row r="44" spans="1:35" ht="12.75" customHeight="1" x14ac:dyDescent="0.2">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row>
    <row r="45" spans="1:35" ht="29.25" hidden="1" customHeight="1" x14ac:dyDescent="0.2">
      <c r="A45" s="122"/>
      <c r="B45" s="235"/>
      <c r="C45" s="182"/>
      <c r="D45" s="182"/>
      <c r="E45" s="182"/>
      <c r="F45" s="182"/>
      <c r="G45" s="182"/>
      <c r="H45" s="182"/>
      <c r="I45" s="182"/>
      <c r="J45" s="182"/>
      <c r="K45" s="182"/>
      <c r="L45" s="182"/>
      <c r="M45" s="182"/>
      <c r="N45" s="182"/>
      <c r="O45" s="182"/>
      <c r="P45" s="182"/>
      <c r="Q45" s="182"/>
      <c r="R45" s="182"/>
      <c r="S45" s="178"/>
      <c r="T45" s="122"/>
      <c r="U45" s="122"/>
      <c r="V45" s="122"/>
      <c r="W45" s="122"/>
      <c r="X45" s="122"/>
      <c r="Y45" s="122"/>
      <c r="Z45" s="122"/>
      <c r="AA45" s="122"/>
      <c r="AB45" s="122"/>
      <c r="AC45" s="122"/>
      <c r="AD45" s="122"/>
      <c r="AE45" s="122"/>
      <c r="AF45" s="122"/>
      <c r="AG45" s="122"/>
      <c r="AH45" s="122"/>
      <c r="AI45" s="122"/>
    </row>
    <row r="46" spans="1:35" ht="29.25" hidden="1" customHeight="1" x14ac:dyDescent="0.2">
      <c r="A46" s="122"/>
      <c r="B46" s="235" t="s">
        <v>69</v>
      </c>
      <c r="C46" s="182"/>
      <c r="D46" s="182"/>
      <c r="E46" s="182"/>
      <c r="F46" s="182"/>
      <c r="G46" s="182"/>
      <c r="H46" s="182"/>
      <c r="I46" s="182"/>
      <c r="J46" s="182"/>
      <c r="K46" s="182"/>
      <c r="L46" s="182"/>
      <c r="M46" s="182"/>
      <c r="N46" s="182"/>
      <c r="O46" s="182"/>
      <c r="P46" s="182"/>
      <c r="Q46" s="182"/>
      <c r="R46" s="182"/>
      <c r="S46" s="178"/>
      <c r="T46" s="122"/>
      <c r="U46" s="122"/>
      <c r="V46" s="122"/>
      <c r="W46" s="122"/>
      <c r="X46" s="122"/>
      <c r="Y46" s="122"/>
      <c r="Z46" s="122"/>
      <c r="AA46" s="122"/>
      <c r="AB46" s="122"/>
      <c r="AC46" s="122"/>
      <c r="AD46" s="122"/>
      <c r="AE46" s="122"/>
      <c r="AF46" s="122"/>
      <c r="AG46" s="122"/>
      <c r="AH46" s="122"/>
      <c r="AI46" s="122"/>
    </row>
    <row r="47" spans="1:35" ht="29.25" hidden="1" customHeight="1" x14ac:dyDescent="0.2">
      <c r="A47" s="122"/>
      <c r="B47" s="237" t="s">
        <v>31</v>
      </c>
      <c r="C47" s="123"/>
      <c r="D47" s="245" t="s">
        <v>70</v>
      </c>
      <c r="E47" s="246"/>
      <c r="F47" s="246"/>
      <c r="G47" s="246"/>
      <c r="H47" s="246"/>
      <c r="I47" s="246"/>
      <c r="J47" s="227"/>
      <c r="K47" s="240" t="s">
        <v>71</v>
      </c>
      <c r="L47" s="137"/>
      <c r="M47" s="236" t="s">
        <v>72</v>
      </c>
      <c r="N47" s="182"/>
      <c r="O47" s="182"/>
      <c r="P47" s="182"/>
      <c r="Q47" s="182"/>
      <c r="R47" s="178"/>
      <c r="S47" s="240" t="s">
        <v>73</v>
      </c>
      <c r="T47" s="156"/>
      <c r="U47" s="122"/>
      <c r="V47" s="122"/>
      <c r="W47" s="122"/>
      <c r="X47" s="122"/>
      <c r="Y47" s="122"/>
      <c r="Z47" s="122"/>
      <c r="AA47" s="122"/>
      <c r="AB47" s="122"/>
      <c r="AC47" s="122"/>
      <c r="AD47" s="122"/>
      <c r="AE47" s="122"/>
      <c r="AF47" s="122"/>
      <c r="AG47" s="122"/>
      <c r="AH47" s="122"/>
      <c r="AI47" s="122"/>
    </row>
    <row r="48" spans="1:35" ht="29.25" hidden="1" customHeight="1" x14ac:dyDescent="0.2">
      <c r="A48" s="122"/>
      <c r="B48" s="238"/>
      <c r="C48" s="124"/>
      <c r="D48" s="242"/>
      <c r="E48" s="210"/>
      <c r="F48" s="210"/>
      <c r="G48" s="210"/>
      <c r="H48" s="210"/>
      <c r="I48" s="210"/>
      <c r="J48" s="247"/>
      <c r="K48" s="238"/>
      <c r="L48" s="136"/>
      <c r="M48" s="237" t="s">
        <v>48</v>
      </c>
      <c r="N48" s="237" t="s">
        <v>74</v>
      </c>
      <c r="O48" s="241" t="s">
        <v>75</v>
      </c>
      <c r="P48" s="237" t="s">
        <v>76</v>
      </c>
      <c r="Q48" s="245" t="s">
        <v>77</v>
      </c>
      <c r="R48" s="227"/>
      <c r="S48" s="238"/>
      <c r="T48" s="122"/>
      <c r="U48" s="268" t="s">
        <v>78</v>
      </c>
      <c r="V48" s="122"/>
      <c r="W48" s="122"/>
      <c r="X48" s="122"/>
      <c r="Y48" s="122"/>
      <c r="Z48" s="122"/>
      <c r="AA48" s="122"/>
      <c r="AB48" s="122"/>
      <c r="AC48" s="122"/>
      <c r="AD48" s="122"/>
      <c r="AE48" s="269" t="s">
        <v>79</v>
      </c>
      <c r="AF48" s="237" t="s">
        <v>48</v>
      </c>
      <c r="AG48" s="237" t="s">
        <v>74</v>
      </c>
      <c r="AH48" s="241" t="s">
        <v>75</v>
      </c>
      <c r="AI48" s="237" t="s">
        <v>76</v>
      </c>
    </row>
    <row r="49" spans="1:35" ht="29.25" hidden="1" customHeight="1" x14ac:dyDescent="0.25">
      <c r="A49" s="122"/>
      <c r="B49" s="239"/>
      <c r="C49" s="125"/>
      <c r="D49" s="125" t="s">
        <v>35</v>
      </c>
      <c r="E49" s="125" t="s">
        <v>80</v>
      </c>
      <c r="F49" s="125" t="s">
        <v>40</v>
      </c>
      <c r="G49" s="125" t="s">
        <v>47</v>
      </c>
      <c r="H49" s="125" t="s">
        <v>81</v>
      </c>
      <c r="I49" s="138" t="s">
        <v>82</v>
      </c>
      <c r="J49" s="125" t="s">
        <v>83</v>
      </c>
      <c r="K49" s="239"/>
      <c r="L49" s="139" t="s">
        <v>79</v>
      </c>
      <c r="M49" s="239"/>
      <c r="N49" s="239"/>
      <c r="O49" s="242"/>
      <c r="P49" s="239"/>
      <c r="Q49" s="242"/>
      <c r="R49" s="247"/>
      <c r="S49" s="239"/>
      <c r="T49" s="122"/>
      <c r="U49" s="239"/>
      <c r="V49" s="122"/>
      <c r="W49" s="122"/>
      <c r="X49" s="122"/>
      <c r="Y49" s="122"/>
      <c r="Z49" s="122"/>
      <c r="AA49" s="122"/>
      <c r="AB49" s="122"/>
      <c r="AC49" s="122"/>
      <c r="AD49" s="122"/>
      <c r="AE49" s="239"/>
      <c r="AF49" s="239"/>
      <c r="AG49" s="239"/>
      <c r="AH49" s="242"/>
      <c r="AI49" s="239"/>
    </row>
    <row r="50" spans="1:35" ht="29.25" hidden="1" customHeight="1" x14ac:dyDescent="0.2">
      <c r="A50" s="122"/>
      <c r="B50" s="126" t="s">
        <v>84</v>
      </c>
      <c r="C50" s="126"/>
      <c r="D50" s="127">
        <f>O20</f>
        <v>0</v>
      </c>
      <c r="E50" s="127">
        <f>O21</f>
        <v>0</v>
      </c>
      <c r="F50" s="128">
        <f>O22</f>
        <v>53600</v>
      </c>
      <c r="G50" s="127">
        <f>ROUND(F50*DATA!$D$26,0)</f>
        <v>28408</v>
      </c>
      <c r="H50" s="127">
        <f t="shared" ref="H50:H61" si="4">IF(AA50=0,0,1000)</f>
        <v>1000</v>
      </c>
      <c r="I50" s="127">
        <f>IF(DATA!C26=20%,240,0)</f>
        <v>0</v>
      </c>
      <c r="J50" s="140">
        <f>ROUND(F50*DATA!$C$26,0)</f>
        <v>4288</v>
      </c>
      <c r="K50" s="141">
        <f t="shared" ref="K50:K61" si="5">SUM(F50:J50)</f>
        <v>87296</v>
      </c>
      <c r="L50" s="141">
        <f>O23</f>
        <v>0</v>
      </c>
      <c r="M50" s="127">
        <f t="shared" ref="M50:M61" si="6">E26</f>
        <v>800</v>
      </c>
      <c r="N50" s="127">
        <f>O26</f>
        <v>200</v>
      </c>
      <c r="O50" s="142">
        <f t="shared" ref="O50:O61" si="7">IF(L50=0,U50,)</f>
        <v>8201</v>
      </c>
      <c r="P50" s="127">
        <f t="shared" ref="P50:P61" si="8">S20</f>
        <v>0</v>
      </c>
      <c r="Q50" s="233">
        <f t="shared" ref="Q50:Q61" si="9">SUM(M50:P50)</f>
        <v>9201</v>
      </c>
      <c r="R50" s="178"/>
      <c r="S50" s="157">
        <f t="shared" ref="S50:S61" si="10">K50-Q50</f>
        <v>78095</v>
      </c>
      <c r="T50" s="122">
        <f>ROUNDUP((O20+O21)*3/100,0-1)+O20</f>
        <v>0</v>
      </c>
      <c r="U50" s="158">
        <f t="shared" ref="U50:U61" si="11">ROUND(((F50+G50)*10/100),0)</f>
        <v>8201</v>
      </c>
      <c r="V50" s="122"/>
      <c r="W50" s="159">
        <f>F50/31</f>
        <v>1729.0322580645161</v>
      </c>
      <c r="X50" s="122">
        <f t="shared" ref="X50:X61" si="12">ROUND(W50*W20/2,0)</f>
        <v>0</v>
      </c>
      <c r="Y50" s="122">
        <f t="shared" ref="Y50:Y61" si="13">IF(W20=0,F50,X50)</f>
        <v>53600</v>
      </c>
      <c r="Z50" s="122">
        <f t="shared" ref="Z50:Z61" si="14">IF(X50=0,0,ROUND(W50*(U20-W20),0))</f>
        <v>0</v>
      </c>
      <c r="AA50" s="160">
        <f t="shared" ref="AA50:AA61" si="15">SUM(Y50:Z50)</f>
        <v>53600</v>
      </c>
      <c r="AB50" s="161">
        <f>ROUND(AA50*DATA!$D$26,0)</f>
        <v>28408</v>
      </c>
      <c r="AC50" s="161"/>
      <c r="AD50" s="161">
        <f t="shared" ref="AD50:AD61" si="16">IF(W20=0,ROUND(F50*C26,0),ROUND(F50*C26,0))</f>
        <v>4288</v>
      </c>
      <c r="AE50" s="122">
        <f t="shared" ref="AE50:AE61" si="17">IF(AA50=0,0,L50)</f>
        <v>0</v>
      </c>
      <c r="AF50" s="122">
        <f t="shared" ref="AF50:AF61" si="18">IF(AA50=0,0,M50)</f>
        <v>800</v>
      </c>
      <c r="AG50" s="122">
        <f t="shared" ref="AG50:AG61" si="19">IF(AA50=0,0,N50)</f>
        <v>200</v>
      </c>
      <c r="AH50" s="122">
        <f t="shared" ref="AH50:AH61" si="20">IF(AA50=0,0,O50)</f>
        <v>8201</v>
      </c>
      <c r="AI50" s="122">
        <f t="shared" ref="AI50:AI61" si="21">IF(AA50=0,0,P50)</f>
        <v>0</v>
      </c>
    </row>
    <row r="51" spans="1:35" ht="29.25" hidden="1" customHeight="1" x14ac:dyDescent="0.2">
      <c r="A51" s="122"/>
      <c r="B51" s="129" t="s">
        <v>85</v>
      </c>
      <c r="C51" s="129"/>
      <c r="D51" s="127">
        <f t="shared" ref="D51:F51" si="22">D50</f>
        <v>0</v>
      </c>
      <c r="E51" s="127">
        <f t="shared" si="22"/>
        <v>0</v>
      </c>
      <c r="F51" s="128">
        <f t="shared" si="22"/>
        <v>53600</v>
      </c>
      <c r="G51" s="127">
        <f>ROUND(F51*DATA!$D$27,0)</f>
        <v>29480</v>
      </c>
      <c r="H51" s="127">
        <f t="shared" si="4"/>
        <v>1000</v>
      </c>
      <c r="I51" s="127">
        <f>IF(DATA!C27=20%,240,0)</f>
        <v>0</v>
      </c>
      <c r="J51" s="140">
        <f>ROUND(F51*DATA!$C$27,0)</f>
        <v>4288</v>
      </c>
      <c r="K51" s="141">
        <f t="shared" si="5"/>
        <v>88368</v>
      </c>
      <c r="L51" s="141">
        <f t="shared" ref="L51:L61" si="23">L50</f>
        <v>0</v>
      </c>
      <c r="M51" s="127">
        <f t="shared" si="6"/>
        <v>800</v>
      </c>
      <c r="N51" s="127">
        <f t="shared" ref="N51:N61" si="24">N50</f>
        <v>200</v>
      </c>
      <c r="O51" s="142">
        <f t="shared" si="7"/>
        <v>8308</v>
      </c>
      <c r="P51" s="127">
        <f t="shared" si="8"/>
        <v>0</v>
      </c>
      <c r="Q51" s="233">
        <f t="shared" si="9"/>
        <v>9308</v>
      </c>
      <c r="R51" s="178"/>
      <c r="S51" s="157">
        <f t="shared" si="10"/>
        <v>79060</v>
      </c>
      <c r="T51" s="122"/>
      <c r="U51" s="158">
        <f t="shared" si="11"/>
        <v>8308</v>
      </c>
      <c r="V51" s="122"/>
      <c r="W51" s="159">
        <f>F51/30</f>
        <v>1786.6666666666667</v>
      </c>
      <c r="X51" s="122">
        <f t="shared" si="12"/>
        <v>0</v>
      </c>
      <c r="Y51" s="122">
        <f t="shared" si="13"/>
        <v>53600</v>
      </c>
      <c r="Z51" s="122">
        <f t="shared" si="14"/>
        <v>0</v>
      </c>
      <c r="AA51" s="160">
        <f t="shared" si="15"/>
        <v>53600</v>
      </c>
      <c r="AB51" s="161">
        <f>ROUND(AA51*DATA!$D$27,0)</f>
        <v>29480</v>
      </c>
      <c r="AC51" s="161"/>
      <c r="AD51" s="161">
        <f t="shared" si="16"/>
        <v>4288</v>
      </c>
      <c r="AE51" s="122">
        <f t="shared" si="17"/>
        <v>0</v>
      </c>
      <c r="AF51" s="122">
        <f t="shared" si="18"/>
        <v>800</v>
      </c>
      <c r="AG51" s="122">
        <f t="shared" si="19"/>
        <v>200</v>
      </c>
      <c r="AH51" s="122">
        <f t="shared" si="20"/>
        <v>8308</v>
      </c>
      <c r="AI51" s="122">
        <f t="shared" si="21"/>
        <v>0</v>
      </c>
    </row>
    <row r="52" spans="1:35" ht="29.25" hidden="1" customHeight="1" x14ac:dyDescent="0.2">
      <c r="A52" s="122"/>
      <c r="B52" s="129" t="s">
        <v>86</v>
      </c>
      <c r="C52" s="129"/>
      <c r="D52" s="127">
        <f t="shared" ref="D52:F52" si="25">D51</f>
        <v>0</v>
      </c>
      <c r="E52" s="127">
        <f t="shared" si="25"/>
        <v>0</v>
      </c>
      <c r="F52" s="128">
        <f t="shared" si="25"/>
        <v>53600</v>
      </c>
      <c r="G52" s="127">
        <f>ROUND(F52*DATA!$D$28,0)</f>
        <v>29480</v>
      </c>
      <c r="H52" s="127">
        <f t="shared" si="4"/>
        <v>1000</v>
      </c>
      <c r="I52" s="127">
        <f>IF(DATA!C28=20%,240,0)</f>
        <v>0</v>
      </c>
      <c r="J52" s="140">
        <f>ROUND(F52*DATA!$C$28,0)</f>
        <v>4288</v>
      </c>
      <c r="K52" s="141">
        <f t="shared" si="5"/>
        <v>88368</v>
      </c>
      <c r="L52" s="141">
        <f t="shared" si="23"/>
        <v>0</v>
      </c>
      <c r="M52" s="127">
        <f t="shared" si="6"/>
        <v>800</v>
      </c>
      <c r="N52" s="127">
        <f t="shared" si="24"/>
        <v>200</v>
      </c>
      <c r="O52" s="142">
        <f t="shared" si="7"/>
        <v>8308</v>
      </c>
      <c r="P52" s="127">
        <f t="shared" si="8"/>
        <v>0</v>
      </c>
      <c r="Q52" s="233">
        <f t="shared" si="9"/>
        <v>9308</v>
      </c>
      <c r="R52" s="178"/>
      <c r="S52" s="157">
        <f t="shared" si="10"/>
        <v>79060</v>
      </c>
      <c r="T52" s="122">
        <f>ROUND(F53*3/100,-2)</f>
        <v>1600</v>
      </c>
      <c r="U52" s="158">
        <f t="shared" si="11"/>
        <v>8308</v>
      </c>
      <c r="V52" s="122"/>
      <c r="W52" s="159">
        <f>F52/31</f>
        <v>1729.0322580645161</v>
      </c>
      <c r="X52" s="122">
        <f t="shared" si="12"/>
        <v>0</v>
      </c>
      <c r="Y52" s="122">
        <f t="shared" si="13"/>
        <v>53600</v>
      </c>
      <c r="Z52" s="122">
        <f t="shared" si="14"/>
        <v>0</v>
      </c>
      <c r="AA52" s="160">
        <f t="shared" si="15"/>
        <v>53600</v>
      </c>
      <c r="AB52" s="161">
        <f>ROUND(AA52*DATA!$D$28,0)</f>
        <v>29480</v>
      </c>
      <c r="AC52" s="161"/>
      <c r="AD52" s="161">
        <f t="shared" si="16"/>
        <v>4288</v>
      </c>
      <c r="AE52" s="122">
        <f t="shared" si="17"/>
        <v>0</v>
      </c>
      <c r="AF52" s="122">
        <f t="shared" si="18"/>
        <v>800</v>
      </c>
      <c r="AG52" s="122">
        <f t="shared" si="19"/>
        <v>200</v>
      </c>
      <c r="AH52" s="122">
        <f t="shared" si="20"/>
        <v>8308</v>
      </c>
      <c r="AI52" s="122">
        <f t="shared" si="21"/>
        <v>0</v>
      </c>
    </row>
    <row r="53" spans="1:35" ht="29.25" hidden="1" customHeight="1" x14ac:dyDescent="0.2">
      <c r="A53" s="122"/>
      <c r="B53" s="129" t="s">
        <v>87</v>
      </c>
      <c r="C53" s="129"/>
      <c r="D53" s="127">
        <f t="shared" ref="D53:F53" si="26">D52</f>
        <v>0</v>
      </c>
      <c r="E53" s="127">
        <f t="shared" si="26"/>
        <v>0</v>
      </c>
      <c r="F53" s="128">
        <f t="shared" si="26"/>
        <v>53600</v>
      </c>
      <c r="G53" s="127">
        <f>ROUND(F53*DATA!$D$29,0)</f>
        <v>29480</v>
      </c>
      <c r="H53" s="127">
        <f t="shared" si="4"/>
        <v>1000</v>
      </c>
      <c r="I53" s="127">
        <f>IF(DATA!C29=20%,240,0)</f>
        <v>0</v>
      </c>
      <c r="J53" s="140">
        <f>ROUND(F53*DATA!$C$29,0)</f>
        <v>4288</v>
      </c>
      <c r="K53" s="141">
        <f t="shared" si="5"/>
        <v>88368</v>
      </c>
      <c r="L53" s="141">
        <f t="shared" si="23"/>
        <v>0</v>
      </c>
      <c r="M53" s="127">
        <f t="shared" si="6"/>
        <v>800</v>
      </c>
      <c r="N53" s="127">
        <f t="shared" si="24"/>
        <v>200</v>
      </c>
      <c r="O53" s="142">
        <f t="shared" si="7"/>
        <v>8308</v>
      </c>
      <c r="P53" s="127">
        <f t="shared" si="8"/>
        <v>0</v>
      </c>
      <c r="Q53" s="233">
        <f t="shared" si="9"/>
        <v>9308</v>
      </c>
      <c r="R53" s="178"/>
      <c r="S53" s="157">
        <f t="shared" si="10"/>
        <v>79060</v>
      </c>
      <c r="T53" s="122"/>
      <c r="U53" s="158">
        <f t="shared" si="11"/>
        <v>8308</v>
      </c>
      <c r="V53" s="122"/>
      <c r="W53" s="159">
        <f>F53/30</f>
        <v>1786.6666666666667</v>
      </c>
      <c r="X53" s="122">
        <f t="shared" si="12"/>
        <v>0</v>
      </c>
      <c r="Y53" s="122">
        <f t="shared" si="13"/>
        <v>53600</v>
      </c>
      <c r="Z53" s="122">
        <f t="shared" si="14"/>
        <v>0</v>
      </c>
      <c r="AA53" s="160">
        <f t="shared" si="15"/>
        <v>53600</v>
      </c>
      <c r="AB53" s="161">
        <f>ROUND(AA53*DATA!$D$29,0)</f>
        <v>29480</v>
      </c>
      <c r="AC53" s="161"/>
      <c r="AD53" s="161">
        <f t="shared" si="16"/>
        <v>4288</v>
      </c>
      <c r="AE53" s="122">
        <f t="shared" si="17"/>
        <v>0</v>
      </c>
      <c r="AF53" s="122">
        <f t="shared" si="18"/>
        <v>800</v>
      </c>
      <c r="AG53" s="122">
        <f t="shared" si="19"/>
        <v>200</v>
      </c>
      <c r="AH53" s="122">
        <f t="shared" si="20"/>
        <v>8308</v>
      </c>
      <c r="AI53" s="122">
        <f t="shared" si="21"/>
        <v>0</v>
      </c>
    </row>
    <row r="54" spans="1:35" ht="29.25" hidden="1" customHeight="1" x14ac:dyDescent="0.2">
      <c r="A54" s="122"/>
      <c r="B54" s="129" t="s">
        <v>88</v>
      </c>
      <c r="C54" s="129"/>
      <c r="D54" s="127">
        <f>T50</f>
        <v>0</v>
      </c>
      <c r="E54" s="127">
        <f>E53</f>
        <v>0</v>
      </c>
      <c r="F54" s="128">
        <f>IF(O14=1,F50,V54)</f>
        <v>55200</v>
      </c>
      <c r="G54" s="127">
        <f>ROUND(F54*DATA!$D$30,0)</f>
        <v>30360</v>
      </c>
      <c r="H54" s="127">
        <f t="shared" si="4"/>
        <v>1000</v>
      </c>
      <c r="I54" s="127">
        <f>IF(DATA!C30=20%,240,0)</f>
        <v>0</v>
      </c>
      <c r="J54" s="140">
        <f>ROUND(F54*DATA!$C$30,0)</f>
        <v>4416</v>
      </c>
      <c r="K54" s="141">
        <f t="shared" si="5"/>
        <v>90976</v>
      </c>
      <c r="L54" s="141">
        <f t="shared" si="23"/>
        <v>0</v>
      </c>
      <c r="M54" s="127">
        <f t="shared" si="6"/>
        <v>800</v>
      </c>
      <c r="N54" s="127">
        <f t="shared" si="24"/>
        <v>200</v>
      </c>
      <c r="O54" s="142">
        <f t="shared" si="7"/>
        <v>8556</v>
      </c>
      <c r="P54" s="127">
        <f t="shared" si="8"/>
        <v>0</v>
      </c>
      <c r="Q54" s="233">
        <f t="shared" si="9"/>
        <v>9556</v>
      </c>
      <c r="R54" s="178"/>
      <c r="S54" s="157">
        <f t="shared" si="10"/>
        <v>81420</v>
      </c>
      <c r="T54" s="122"/>
      <c r="U54" s="158">
        <f t="shared" si="11"/>
        <v>8556</v>
      </c>
      <c r="V54" s="122">
        <f>ROUND(F53*3/100,-2)+F53</f>
        <v>55200</v>
      </c>
      <c r="W54" s="159">
        <f t="shared" ref="W54:W55" si="27">F54/31</f>
        <v>1780.6451612903227</v>
      </c>
      <c r="X54" s="122">
        <f t="shared" si="12"/>
        <v>0</v>
      </c>
      <c r="Y54" s="122">
        <f t="shared" si="13"/>
        <v>55200</v>
      </c>
      <c r="Z54" s="122">
        <f t="shared" si="14"/>
        <v>0</v>
      </c>
      <c r="AA54" s="160">
        <f t="shared" si="15"/>
        <v>55200</v>
      </c>
      <c r="AB54" s="161">
        <f>ROUND(AA54*DATA!$D$30,0)</f>
        <v>30360</v>
      </c>
      <c r="AC54" s="161"/>
      <c r="AD54" s="161">
        <f t="shared" si="16"/>
        <v>4416</v>
      </c>
      <c r="AE54" s="122">
        <f t="shared" si="17"/>
        <v>0</v>
      </c>
      <c r="AF54" s="122">
        <f t="shared" si="18"/>
        <v>800</v>
      </c>
      <c r="AG54" s="122">
        <f t="shared" si="19"/>
        <v>200</v>
      </c>
      <c r="AH54" s="122">
        <f t="shared" si="20"/>
        <v>8556</v>
      </c>
      <c r="AI54" s="122">
        <f t="shared" si="21"/>
        <v>0</v>
      </c>
    </row>
    <row r="55" spans="1:35" ht="29.25" hidden="1" customHeight="1" x14ac:dyDescent="0.2">
      <c r="A55" s="122"/>
      <c r="B55" s="129" t="s">
        <v>89</v>
      </c>
      <c r="C55" s="129"/>
      <c r="D55" s="127">
        <f t="shared" ref="D55:F55" si="28">D54</f>
        <v>0</v>
      </c>
      <c r="E55" s="127">
        <f t="shared" si="28"/>
        <v>0</v>
      </c>
      <c r="F55" s="128">
        <f t="shared" si="28"/>
        <v>55200</v>
      </c>
      <c r="G55" s="127">
        <f>ROUND(F55*DATA!$D$31,0)</f>
        <v>30360</v>
      </c>
      <c r="H55" s="127">
        <f t="shared" si="4"/>
        <v>1000</v>
      </c>
      <c r="I55" s="127">
        <f>IF(DATA!C31=20%,240,0)</f>
        <v>0</v>
      </c>
      <c r="J55" s="140">
        <f>ROUND(F55*DATA!$C$31,0)</f>
        <v>4416</v>
      </c>
      <c r="K55" s="141">
        <f t="shared" si="5"/>
        <v>90976</v>
      </c>
      <c r="L55" s="141">
        <f t="shared" si="23"/>
        <v>0</v>
      </c>
      <c r="M55" s="127">
        <f t="shared" si="6"/>
        <v>800</v>
      </c>
      <c r="N55" s="127">
        <f t="shared" si="24"/>
        <v>200</v>
      </c>
      <c r="O55" s="142">
        <f t="shared" si="7"/>
        <v>8556</v>
      </c>
      <c r="P55" s="127">
        <f t="shared" si="8"/>
        <v>0</v>
      </c>
      <c r="Q55" s="233">
        <f t="shared" si="9"/>
        <v>9556</v>
      </c>
      <c r="R55" s="178"/>
      <c r="S55" s="157">
        <f t="shared" si="10"/>
        <v>81420</v>
      </c>
      <c r="T55" s="122"/>
      <c r="U55" s="158">
        <f t="shared" si="11"/>
        <v>8556</v>
      </c>
      <c r="V55" s="122"/>
      <c r="W55" s="159">
        <f t="shared" si="27"/>
        <v>1780.6451612903227</v>
      </c>
      <c r="X55" s="122">
        <f t="shared" si="12"/>
        <v>0</v>
      </c>
      <c r="Y55" s="122">
        <f t="shared" si="13"/>
        <v>55200</v>
      </c>
      <c r="Z55" s="122">
        <f t="shared" si="14"/>
        <v>0</v>
      </c>
      <c r="AA55" s="160">
        <f t="shared" si="15"/>
        <v>55200</v>
      </c>
      <c r="AB55" s="161">
        <f>ROUND(AA55*DATA!$D$31,0)</f>
        <v>30360</v>
      </c>
      <c r="AC55" s="161"/>
      <c r="AD55" s="161">
        <f t="shared" si="16"/>
        <v>4416</v>
      </c>
      <c r="AE55" s="122">
        <f t="shared" si="17"/>
        <v>0</v>
      </c>
      <c r="AF55" s="122">
        <f t="shared" si="18"/>
        <v>800</v>
      </c>
      <c r="AG55" s="122">
        <f t="shared" si="19"/>
        <v>200</v>
      </c>
      <c r="AH55" s="122">
        <f t="shared" si="20"/>
        <v>8556</v>
      </c>
      <c r="AI55" s="122">
        <f t="shared" si="21"/>
        <v>0</v>
      </c>
    </row>
    <row r="56" spans="1:35" ht="29.25" hidden="1" customHeight="1" x14ac:dyDescent="0.2">
      <c r="A56" s="122"/>
      <c r="B56" s="129" t="s">
        <v>90</v>
      </c>
      <c r="C56" s="129"/>
      <c r="D56" s="127">
        <f t="shared" ref="D56:F56" si="29">D55</f>
        <v>0</v>
      </c>
      <c r="E56" s="127">
        <f t="shared" si="29"/>
        <v>0</v>
      </c>
      <c r="F56" s="128">
        <f t="shared" si="29"/>
        <v>55200</v>
      </c>
      <c r="G56" s="127">
        <f>ROUND(F56*DATA!$D$32,0)</f>
        <v>30360</v>
      </c>
      <c r="H56" s="127">
        <f t="shared" si="4"/>
        <v>1000</v>
      </c>
      <c r="I56" s="127">
        <f>IF(DATA!C32=20%,240,0)</f>
        <v>0</v>
      </c>
      <c r="J56" s="140">
        <f>ROUND(F56*DATA!$C$32,0)</f>
        <v>4416</v>
      </c>
      <c r="K56" s="141">
        <f t="shared" si="5"/>
        <v>90976</v>
      </c>
      <c r="L56" s="141">
        <f t="shared" si="23"/>
        <v>0</v>
      </c>
      <c r="M56" s="127">
        <f t="shared" si="6"/>
        <v>800</v>
      </c>
      <c r="N56" s="127">
        <f t="shared" si="24"/>
        <v>200</v>
      </c>
      <c r="O56" s="142">
        <f t="shared" si="7"/>
        <v>8556</v>
      </c>
      <c r="P56" s="127">
        <f t="shared" si="8"/>
        <v>0</v>
      </c>
      <c r="Q56" s="233">
        <f t="shared" si="9"/>
        <v>9556</v>
      </c>
      <c r="R56" s="178"/>
      <c r="S56" s="157">
        <f t="shared" si="10"/>
        <v>81420</v>
      </c>
      <c r="T56" s="122"/>
      <c r="U56" s="158">
        <f t="shared" si="11"/>
        <v>8556</v>
      </c>
      <c r="V56" s="122"/>
      <c r="W56" s="159">
        <f>F56/30</f>
        <v>1840</v>
      </c>
      <c r="X56" s="122">
        <f t="shared" si="12"/>
        <v>0</v>
      </c>
      <c r="Y56" s="122">
        <f t="shared" si="13"/>
        <v>55200</v>
      </c>
      <c r="Z56" s="122">
        <f t="shared" si="14"/>
        <v>0</v>
      </c>
      <c r="AA56" s="160">
        <f t="shared" si="15"/>
        <v>55200</v>
      </c>
      <c r="AB56" s="161">
        <f>ROUND(AA56*DATA!$D$32,0)</f>
        <v>30360</v>
      </c>
      <c r="AC56" s="161"/>
      <c r="AD56" s="161">
        <f t="shared" si="16"/>
        <v>4416</v>
      </c>
      <c r="AE56" s="122">
        <f t="shared" si="17"/>
        <v>0</v>
      </c>
      <c r="AF56" s="122">
        <f t="shared" si="18"/>
        <v>800</v>
      </c>
      <c r="AG56" s="122">
        <f t="shared" si="19"/>
        <v>200</v>
      </c>
      <c r="AH56" s="122">
        <f t="shared" si="20"/>
        <v>8556</v>
      </c>
      <c r="AI56" s="122">
        <f t="shared" si="21"/>
        <v>0</v>
      </c>
    </row>
    <row r="57" spans="1:35" ht="29.25" hidden="1" customHeight="1" x14ac:dyDescent="0.2">
      <c r="A57" s="122"/>
      <c r="B57" s="129" t="s">
        <v>91</v>
      </c>
      <c r="C57" s="129"/>
      <c r="D57" s="127">
        <f t="shared" ref="D57:F57" si="30">D56</f>
        <v>0</v>
      </c>
      <c r="E57" s="127">
        <f t="shared" si="30"/>
        <v>0</v>
      </c>
      <c r="F57" s="128">
        <f t="shared" si="30"/>
        <v>55200</v>
      </c>
      <c r="G57" s="127">
        <f>ROUND(F57*DATA!$D$33,0)</f>
        <v>32016</v>
      </c>
      <c r="H57" s="127">
        <f t="shared" si="4"/>
        <v>1000</v>
      </c>
      <c r="I57" s="127">
        <f>IF(DATA!C33=24%,360,0)</f>
        <v>0</v>
      </c>
      <c r="J57" s="140">
        <f>ROUND(F57*DATA!$C$33,0)</f>
        <v>4416</v>
      </c>
      <c r="K57" s="141">
        <f t="shared" si="5"/>
        <v>92632</v>
      </c>
      <c r="L57" s="141">
        <f t="shared" si="23"/>
        <v>0</v>
      </c>
      <c r="M57" s="127">
        <f t="shared" si="6"/>
        <v>800</v>
      </c>
      <c r="N57" s="127">
        <f t="shared" si="24"/>
        <v>200</v>
      </c>
      <c r="O57" s="142">
        <f t="shared" si="7"/>
        <v>8722</v>
      </c>
      <c r="P57" s="127">
        <f t="shared" si="8"/>
        <v>0</v>
      </c>
      <c r="Q57" s="233">
        <f t="shared" si="9"/>
        <v>9722</v>
      </c>
      <c r="R57" s="178"/>
      <c r="S57" s="157">
        <f t="shared" si="10"/>
        <v>82910</v>
      </c>
      <c r="T57" s="122"/>
      <c r="U57" s="158">
        <f t="shared" si="11"/>
        <v>8722</v>
      </c>
      <c r="V57" s="122"/>
      <c r="W57" s="159">
        <f>F57/31</f>
        <v>1780.6451612903227</v>
      </c>
      <c r="X57" s="122">
        <f t="shared" si="12"/>
        <v>0</v>
      </c>
      <c r="Y57" s="122">
        <f t="shared" si="13"/>
        <v>55200</v>
      </c>
      <c r="Z57" s="122">
        <f t="shared" si="14"/>
        <v>0</v>
      </c>
      <c r="AA57" s="160">
        <f t="shared" si="15"/>
        <v>55200</v>
      </c>
      <c r="AB57" s="161">
        <f>ROUND(AA57*DATA!$D$33,0)</f>
        <v>32016</v>
      </c>
      <c r="AC57" s="161"/>
      <c r="AD57" s="161">
        <f t="shared" si="16"/>
        <v>4416</v>
      </c>
      <c r="AE57" s="122">
        <f t="shared" si="17"/>
        <v>0</v>
      </c>
      <c r="AF57" s="122">
        <f t="shared" si="18"/>
        <v>800</v>
      </c>
      <c r="AG57" s="122">
        <f t="shared" si="19"/>
        <v>200</v>
      </c>
      <c r="AH57" s="122">
        <f t="shared" si="20"/>
        <v>8722</v>
      </c>
      <c r="AI57" s="122">
        <f t="shared" si="21"/>
        <v>0</v>
      </c>
    </row>
    <row r="58" spans="1:35" ht="29.25" hidden="1" customHeight="1" x14ac:dyDescent="0.2">
      <c r="A58" s="122"/>
      <c r="B58" s="129" t="s">
        <v>92</v>
      </c>
      <c r="C58" s="129"/>
      <c r="D58" s="127">
        <f t="shared" ref="D58:F58" si="31">D57</f>
        <v>0</v>
      </c>
      <c r="E58" s="127">
        <f t="shared" si="31"/>
        <v>0</v>
      </c>
      <c r="F58" s="128">
        <f t="shared" si="31"/>
        <v>55200</v>
      </c>
      <c r="G58" s="127">
        <f>ROUND(F58*DATA!$D$34,0)</f>
        <v>32016</v>
      </c>
      <c r="H58" s="127">
        <f t="shared" si="4"/>
        <v>1000</v>
      </c>
      <c r="I58" s="127">
        <f>IF(DATA!C34=24%,360,0)</f>
        <v>0</v>
      </c>
      <c r="J58" s="140">
        <f>ROUND(F58*DATA!$C$34,0)</f>
        <v>4416</v>
      </c>
      <c r="K58" s="141">
        <f t="shared" si="5"/>
        <v>92632</v>
      </c>
      <c r="L58" s="141">
        <f t="shared" si="23"/>
        <v>0</v>
      </c>
      <c r="M58" s="127">
        <f t="shared" si="6"/>
        <v>800</v>
      </c>
      <c r="N58" s="127">
        <f t="shared" si="24"/>
        <v>200</v>
      </c>
      <c r="O58" s="142">
        <f t="shared" si="7"/>
        <v>8722</v>
      </c>
      <c r="P58" s="127">
        <f t="shared" si="8"/>
        <v>0</v>
      </c>
      <c r="Q58" s="233">
        <f t="shared" si="9"/>
        <v>9722</v>
      </c>
      <c r="R58" s="178"/>
      <c r="S58" s="157">
        <f t="shared" si="10"/>
        <v>82910</v>
      </c>
      <c r="T58" s="122"/>
      <c r="U58" s="158">
        <f t="shared" si="11"/>
        <v>8722</v>
      </c>
      <c r="V58" s="122"/>
      <c r="W58" s="159">
        <f>F58/30</f>
        <v>1840</v>
      </c>
      <c r="X58" s="122">
        <f t="shared" si="12"/>
        <v>0</v>
      </c>
      <c r="Y58" s="122">
        <f t="shared" si="13"/>
        <v>55200</v>
      </c>
      <c r="Z58" s="122">
        <f t="shared" si="14"/>
        <v>0</v>
      </c>
      <c r="AA58" s="160">
        <f t="shared" si="15"/>
        <v>55200</v>
      </c>
      <c r="AB58" s="161">
        <f>ROUND(AA58*DATA!$D$34,0)</f>
        <v>32016</v>
      </c>
      <c r="AC58" s="161"/>
      <c r="AD58" s="161">
        <f t="shared" si="16"/>
        <v>4416</v>
      </c>
      <c r="AE58" s="122">
        <f t="shared" si="17"/>
        <v>0</v>
      </c>
      <c r="AF58" s="122">
        <f t="shared" si="18"/>
        <v>800</v>
      </c>
      <c r="AG58" s="122">
        <f t="shared" si="19"/>
        <v>200</v>
      </c>
      <c r="AH58" s="122">
        <f t="shared" si="20"/>
        <v>8722</v>
      </c>
      <c r="AI58" s="122">
        <f t="shared" si="21"/>
        <v>0</v>
      </c>
    </row>
    <row r="59" spans="1:35" ht="29.25" hidden="1" customHeight="1" x14ac:dyDescent="0.2">
      <c r="A59" s="122"/>
      <c r="B59" s="129" t="s">
        <v>93</v>
      </c>
      <c r="C59" s="129"/>
      <c r="D59" s="127">
        <f t="shared" ref="D59:F59" si="32">D58</f>
        <v>0</v>
      </c>
      <c r="E59" s="127">
        <f t="shared" si="32"/>
        <v>0</v>
      </c>
      <c r="F59" s="128">
        <f t="shared" si="32"/>
        <v>55200</v>
      </c>
      <c r="G59" s="127">
        <f>ROUND(F59*DATA!$D$35,0)</f>
        <v>32016</v>
      </c>
      <c r="H59" s="127">
        <f t="shared" si="4"/>
        <v>1000</v>
      </c>
      <c r="I59" s="127">
        <f>IF(DATA!C35=24%,360,0)</f>
        <v>0</v>
      </c>
      <c r="J59" s="140">
        <f>ROUND(F59*DATA!$C$35,0)</f>
        <v>4416</v>
      </c>
      <c r="K59" s="141">
        <f t="shared" si="5"/>
        <v>92632</v>
      </c>
      <c r="L59" s="141">
        <f t="shared" si="23"/>
        <v>0</v>
      </c>
      <c r="M59" s="127">
        <f t="shared" si="6"/>
        <v>800</v>
      </c>
      <c r="N59" s="127">
        <f t="shared" si="24"/>
        <v>200</v>
      </c>
      <c r="O59" s="142">
        <f t="shared" si="7"/>
        <v>8722</v>
      </c>
      <c r="P59" s="127">
        <f t="shared" si="8"/>
        <v>0</v>
      </c>
      <c r="Q59" s="233">
        <f t="shared" si="9"/>
        <v>9722</v>
      </c>
      <c r="R59" s="178"/>
      <c r="S59" s="157">
        <f t="shared" si="10"/>
        <v>82910</v>
      </c>
      <c r="T59" s="122"/>
      <c r="U59" s="158">
        <f t="shared" si="11"/>
        <v>8722</v>
      </c>
      <c r="V59" s="122"/>
      <c r="W59" s="159">
        <f t="shared" ref="W59:W60" si="33">F59/31</f>
        <v>1780.6451612903227</v>
      </c>
      <c r="X59" s="122">
        <f t="shared" si="12"/>
        <v>0</v>
      </c>
      <c r="Y59" s="122">
        <f t="shared" si="13"/>
        <v>55200</v>
      </c>
      <c r="Z59" s="122">
        <f t="shared" si="14"/>
        <v>0</v>
      </c>
      <c r="AA59" s="160">
        <f t="shared" si="15"/>
        <v>55200</v>
      </c>
      <c r="AB59" s="161">
        <f>ROUND(AA59*DATA!$D$35,0)</f>
        <v>32016</v>
      </c>
      <c r="AC59" s="161"/>
      <c r="AD59" s="161">
        <f t="shared" si="16"/>
        <v>4416</v>
      </c>
      <c r="AE59" s="122">
        <f t="shared" si="17"/>
        <v>0</v>
      </c>
      <c r="AF59" s="122">
        <f t="shared" si="18"/>
        <v>800</v>
      </c>
      <c r="AG59" s="122">
        <f t="shared" si="19"/>
        <v>200</v>
      </c>
      <c r="AH59" s="122">
        <f t="shared" si="20"/>
        <v>8722</v>
      </c>
      <c r="AI59" s="122">
        <f t="shared" si="21"/>
        <v>0</v>
      </c>
    </row>
    <row r="60" spans="1:35" ht="29.25" hidden="1" customHeight="1" x14ac:dyDescent="0.2">
      <c r="A60" s="122"/>
      <c r="B60" s="129" t="s">
        <v>94</v>
      </c>
      <c r="C60" s="129"/>
      <c r="D60" s="127">
        <f t="shared" ref="D60:E60" si="34">D59</f>
        <v>0</v>
      </c>
      <c r="E60" s="127">
        <f t="shared" si="34"/>
        <v>0</v>
      </c>
      <c r="F60" s="128">
        <f>IF(O14=1,V54,F59)</f>
        <v>55200</v>
      </c>
      <c r="G60" s="127">
        <f>ROUND(F60*DATA!$D$36,0)</f>
        <v>32016</v>
      </c>
      <c r="H60" s="127">
        <f t="shared" si="4"/>
        <v>1000</v>
      </c>
      <c r="I60" s="127">
        <f>IF(DATA!C36=24%,360,0)</f>
        <v>0</v>
      </c>
      <c r="J60" s="140">
        <f>ROUND(F60*DATA!$C$36,0)</f>
        <v>4416</v>
      </c>
      <c r="K60" s="141">
        <f t="shared" si="5"/>
        <v>92632</v>
      </c>
      <c r="L60" s="141">
        <f t="shared" si="23"/>
        <v>0</v>
      </c>
      <c r="M60" s="127">
        <f t="shared" si="6"/>
        <v>800</v>
      </c>
      <c r="N60" s="127">
        <f t="shared" si="24"/>
        <v>200</v>
      </c>
      <c r="O60" s="142">
        <f t="shared" si="7"/>
        <v>8722</v>
      </c>
      <c r="P60" s="127">
        <f t="shared" si="8"/>
        <v>0</v>
      </c>
      <c r="Q60" s="233">
        <f t="shared" si="9"/>
        <v>9722</v>
      </c>
      <c r="R60" s="178"/>
      <c r="S60" s="157">
        <f t="shared" si="10"/>
        <v>82910</v>
      </c>
      <c r="T60" s="122"/>
      <c r="U60" s="158">
        <f t="shared" si="11"/>
        <v>8722</v>
      </c>
      <c r="V60" s="122"/>
      <c r="W60" s="159">
        <f t="shared" si="33"/>
        <v>1780.6451612903227</v>
      </c>
      <c r="X60" s="122">
        <f t="shared" si="12"/>
        <v>0</v>
      </c>
      <c r="Y60" s="122">
        <f t="shared" si="13"/>
        <v>55200</v>
      </c>
      <c r="Z60" s="122">
        <f t="shared" si="14"/>
        <v>0</v>
      </c>
      <c r="AA60" s="160">
        <f t="shared" si="15"/>
        <v>55200</v>
      </c>
      <c r="AB60" s="161">
        <f>ROUND(AA60*DATA!$D$36,0)</f>
        <v>32016</v>
      </c>
      <c r="AC60" s="161"/>
      <c r="AD60" s="161">
        <f t="shared" si="16"/>
        <v>4416</v>
      </c>
      <c r="AE60" s="122">
        <f t="shared" si="17"/>
        <v>0</v>
      </c>
      <c r="AF60" s="122">
        <f t="shared" si="18"/>
        <v>800</v>
      </c>
      <c r="AG60" s="122">
        <f t="shared" si="19"/>
        <v>200</v>
      </c>
      <c r="AH60" s="122">
        <f t="shared" si="20"/>
        <v>8722</v>
      </c>
      <c r="AI60" s="122">
        <f t="shared" si="21"/>
        <v>0</v>
      </c>
    </row>
    <row r="61" spans="1:35" ht="29.25" hidden="1" customHeight="1" x14ac:dyDescent="0.2">
      <c r="A61" s="122"/>
      <c r="B61" s="129" t="s">
        <v>95</v>
      </c>
      <c r="C61" s="129"/>
      <c r="D61" s="127">
        <f t="shared" ref="D61:F61" si="35">D60</f>
        <v>0</v>
      </c>
      <c r="E61" s="127">
        <f t="shared" si="35"/>
        <v>0</v>
      </c>
      <c r="F61" s="128">
        <f t="shared" si="35"/>
        <v>55200</v>
      </c>
      <c r="G61" s="127">
        <f>ROUND(F61*DATA!$D$37,0)</f>
        <v>32016</v>
      </c>
      <c r="H61" s="127">
        <f t="shared" si="4"/>
        <v>1000</v>
      </c>
      <c r="I61" s="127">
        <f>IF(DATA!C37=24%,360,0)</f>
        <v>0</v>
      </c>
      <c r="J61" s="140">
        <f>ROUND(F61*DATA!$C$37,0)</f>
        <v>4416</v>
      </c>
      <c r="K61" s="141">
        <f t="shared" si="5"/>
        <v>92632</v>
      </c>
      <c r="L61" s="141">
        <f t="shared" si="23"/>
        <v>0</v>
      </c>
      <c r="M61" s="127">
        <f t="shared" si="6"/>
        <v>800</v>
      </c>
      <c r="N61" s="127">
        <f t="shared" si="24"/>
        <v>200</v>
      </c>
      <c r="O61" s="142">
        <f t="shared" si="7"/>
        <v>8722</v>
      </c>
      <c r="P61" s="127">
        <f t="shared" si="8"/>
        <v>0</v>
      </c>
      <c r="Q61" s="233">
        <f t="shared" si="9"/>
        <v>9722</v>
      </c>
      <c r="R61" s="178"/>
      <c r="S61" s="157">
        <f t="shared" si="10"/>
        <v>82910</v>
      </c>
      <c r="T61" s="122"/>
      <c r="U61" s="158">
        <f t="shared" si="11"/>
        <v>8722</v>
      </c>
      <c r="V61" s="122"/>
      <c r="W61" s="159">
        <f>F61/29</f>
        <v>1903.4482758620691</v>
      </c>
      <c r="X61" s="122">
        <f t="shared" si="12"/>
        <v>0</v>
      </c>
      <c r="Y61" s="122">
        <f t="shared" si="13"/>
        <v>55200</v>
      </c>
      <c r="Z61" s="122">
        <f t="shared" si="14"/>
        <v>0</v>
      </c>
      <c r="AA61" s="160">
        <f t="shared" si="15"/>
        <v>55200</v>
      </c>
      <c r="AB61" s="161">
        <f>ROUND(AA61*DATA!$D$37,0)</f>
        <v>32016</v>
      </c>
      <c r="AC61" s="161"/>
      <c r="AD61" s="161">
        <f t="shared" si="16"/>
        <v>4416</v>
      </c>
      <c r="AE61" s="122">
        <f t="shared" si="17"/>
        <v>0</v>
      </c>
      <c r="AF61" s="122">
        <f t="shared" si="18"/>
        <v>800</v>
      </c>
      <c r="AG61" s="122">
        <f t="shared" si="19"/>
        <v>200</v>
      </c>
      <c r="AH61" s="122">
        <f t="shared" si="20"/>
        <v>8722</v>
      </c>
      <c r="AI61" s="122">
        <f t="shared" si="21"/>
        <v>0</v>
      </c>
    </row>
    <row r="62" spans="1:35" ht="29.25" hidden="1" customHeight="1" x14ac:dyDescent="0.2">
      <c r="A62" s="122"/>
      <c r="B62" s="130"/>
      <c r="C62" s="130"/>
      <c r="D62" s="131">
        <f t="shared" ref="D62:Q62" si="36">SUM(D50:D61)</f>
        <v>0</v>
      </c>
      <c r="E62" s="131">
        <f t="shared" si="36"/>
        <v>0</v>
      </c>
      <c r="F62" s="131">
        <f t="shared" si="36"/>
        <v>656000</v>
      </c>
      <c r="G62" s="131">
        <f t="shared" si="36"/>
        <v>368008</v>
      </c>
      <c r="H62" s="131">
        <f t="shared" si="36"/>
        <v>12000</v>
      </c>
      <c r="I62" s="131">
        <f t="shared" si="36"/>
        <v>0</v>
      </c>
      <c r="J62" s="131">
        <f t="shared" si="36"/>
        <v>52480</v>
      </c>
      <c r="K62" s="131">
        <f t="shared" si="36"/>
        <v>1088488</v>
      </c>
      <c r="L62" s="131">
        <f t="shared" si="36"/>
        <v>0</v>
      </c>
      <c r="M62" s="131">
        <f t="shared" si="36"/>
        <v>9600</v>
      </c>
      <c r="N62" s="131">
        <f t="shared" si="36"/>
        <v>2400</v>
      </c>
      <c r="O62" s="131">
        <f t="shared" si="36"/>
        <v>102403</v>
      </c>
      <c r="P62" s="131">
        <f t="shared" si="36"/>
        <v>0</v>
      </c>
      <c r="Q62" s="234">
        <f t="shared" si="36"/>
        <v>114403</v>
      </c>
      <c r="R62" s="178"/>
      <c r="S62" s="131">
        <f>SUM(S50:S61)</f>
        <v>974085</v>
      </c>
      <c r="T62" s="122"/>
      <c r="U62" s="122"/>
      <c r="V62" s="122"/>
      <c r="W62" s="122"/>
      <c r="X62" s="122"/>
      <c r="Y62" s="122"/>
      <c r="Z62" s="122"/>
      <c r="AA62" s="122"/>
      <c r="AB62" s="122"/>
      <c r="AC62" s="122"/>
      <c r="AD62" s="122"/>
      <c r="AE62" s="122"/>
      <c r="AF62" s="122"/>
      <c r="AG62" s="122"/>
      <c r="AH62" s="122"/>
      <c r="AI62" s="122"/>
    </row>
    <row r="63" spans="1:35" ht="55.5" hidden="1" customHeight="1" x14ac:dyDescent="0.2">
      <c r="A63" s="122"/>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row>
    <row r="64" spans="1:35" ht="55.5" customHeight="1" x14ac:dyDescent="0.2">
      <c r="A64" s="122"/>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row>
    <row r="65" spans="1:35" ht="55.5" customHeight="1" x14ac:dyDescent="0.2">
      <c r="A65" s="122"/>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row>
    <row r="66" spans="1:35" ht="55.5" customHeight="1" x14ac:dyDescent="0.2">
      <c r="A66" s="122"/>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row>
    <row r="67" spans="1:35" ht="30" customHeight="1" x14ac:dyDescent="0.2">
      <c r="A67" s="122"/>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row>
    <row r="68" spans="1:35" ht="30" customHeight="1" x14ac:dyDescent="0.2">
      <c r="A68" s="122"/>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row>
    <row r="69" spans="1:35" ht="30" customHeight="1" x14ac:dyDescent="0.2">
      <c r="A69" s="122"/>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row>
    <row r="70" spans="1:35" ht="30" customHeight="1" x14ac:dyDescent="0.2">
      <c r="A70" s="122"/>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row>
    <row r="71" spans="1:35" ht="30" customHeight="1" x14ac:dyDescent="0.2">
      <c r="A71" s="122"/>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row>
    <row r="72" spans="1:35" ht="27" customHeight="1" x14ac:dyDescent="0.2">
      <c r="A72" s="122"/>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row>
    <row r="73" spans="1:35" ht="39.75" customHeight="1" x14ac:dyDescent="0.2">
      <c r="A73" s="122"/>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row>
    <row r="74" spans="1:35" ht="39.75" customHeight="1" x14ac:dyDescent="0.2">
      <c r="A74" s="122"/>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row>
    <row r="75" spans="1:35" ht="39.75" customHeight="1" x14ac:dyDescent="0.2">
      <c r="A75" s="122"/>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row>
    <row r="76" spans="1:35" ht="39.75" customHeight="1" x14ac:dyDescent="0.2">
      <c r="A76" s="122"/>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row>
    <row r="77" spans="1:35" ht="39.75" customHeight="1" x14ac:dyDescent="0.2">
      <c r="A77" s="122"/>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row>
    <row r="78" spans="1:35" ht="39.75" customHeight="1" x14ac:dyDescent="0.2">
      <c r="A78" s="122"/>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row>
    <row r="79" spans="1:35" ht="39.75" customHeight="1" x14ac:dyDescent="0.2">
      <c r="A79" s="122"/>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row>
    <row r="80" spans="1:35" ht="39.75" customHeight="1" x14ac:dyDescent="0.2">
      <c r="A80" s="122"/>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row>
    <row r="81" spans="1:35" ht="11.25" customHeight="1" x14ac:dyDescent="0.2">
      <c r="A81" s="122"/>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row>
    <row r="82" spans="1:35" ht="11.25" customHeight="1" x14ac:dyDescent="0.2">
      <c r="A82" s="122"/>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row>
    <row r="83" spans="1:35" ht="11.25" customHeight="1" x14ac:dyDescent="0.2">
      <c r="A83" s="122"/>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row>
    <row r="84" spans="1:35" ht="11.25" customHeight="1" x14ac:dyDescent="0.2">
      <c r="A84" s="122"/>
      <c r="B84" s="122"/>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row>
    <row r="85" spans="1:35" ht="11.25" customHeight="1" x14ac:dyDescent="0.2">
      <c r="A85" s="122"/>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row>
    <row r="86" spans="1:35" ht="11.25" customHeight="1" x14ac:dyDescent="0.2">
      <c r="A86" s="122"/>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row>
    <row r="87" spans="1:35" ht="11.25" customHeight="1" x14ac:dyDescent="0.2">
      <c r="A87" s="122"/>
      <c r="B87" s="122"/>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row>
    <row r="88" spans="1:35" ht="11.25" customHeight="1" x14ac:dyDescent="0.2">
      <c r="A88" s="122"/>
      <c r="B88" s="122"/>
      <c r="C88" s="122"/>
      <c r="D88" s="122"/>
      <c r="E88" s="12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row>
    <row r="89" spans="1:35" ht="11.25" customHeight="1" x14ac:dyDescent="0.2">
      <c r="A89" s="122"/>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row>
    <row r="90" spans="1:35" ht="11.25" customHeight="1" x14ac:dyDescent="0.2">
      <c r="A90" s="122"/>
      <c r="B90" s="122"/>
      <c r="C90" s="122"/>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row>
    <row r="91" spans="1:35" ht="11.25" customHeight="1" x14ac:dyDescent="0.2">
      <c r="A91" s="122"/>
      <c r="B91" s="122"/>
      <c r="C91" s="122"/>
      <c r="D91" s="122"/>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row>
    <row r="92" spans="1:35" ht="11.25" customHeight="1" x14ac:dyDescent="0.2">
      <c r="A92" s="122"/>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row>
    <row r="93" spans="1:35" ht="11.25" customHeight="1" x14ac:dyDescent="0.2">
      <c r="A93" s="122"/>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row>
    <row r="94" spans="1:35" ht="11.25" customHeight="1" x14ac:dyDescent="0.2">
      <c r="A94" s="122"/>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row>
    <row r="95" spans="1:35" ht="11.25" customHeight="1" x14ac:dyDescent="0.2">
      <c r="A95" s="122"/>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row>
    <row r="96" spans="1:35" ht="11.25" customHeight="1" x14ac:dyDescent="0.2">
      <c r="A96" s="122"/>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row>
    <row r="97" spans="1:35" ht="11.25" customHeight="1" x14ac:dyDescent="0.2">
      <c r="A97" s="122"/>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row>
    <row r="98" spans="1:35" ht="11.25" customHeight="1" x14ac:dyDescent="0.2">
      <c r="A98" s="122"/>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row>
    <row r="99" spans="1:35" ht="11.25" customHeight="1" x14ac:dyDescent="0.2">
      <c r="A99" s="122"/>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row>
    <row r="100" spans="1:35" ht="11.25" customHeight="1" x14ac:dyDescent="0.2">
      <c r="A100" s="122"/>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row>
  </sheetData>
  <sheetProtection password="C045" sheet="1" objects="1" scenarios="1"/>
  <mergeCells count="188">
    <mergeCell ref="Y19:AA25"/>
    <mergeCell ref="Y26:AA31"/>
    <mergeCell ref="C8:D9"/>
    <mergeCell ref="Q48:R49"/>
    <mergeCell ref="G16:J17"/>
    <mergeCell ref="U48:U49"/>
    <mergeCell ref="AE48:AE49"/>
    <mergeCell ref="AF48:AF49"/>
    <mergeCell ref="AG48:AG49"/>
    <mergeCell ref="E31:F31"/>
    <mergeCell ref="G31:J31"/>
    <mergeCell ref="K31:L31"/>
    <mergeCell ref="M31:N31"/>
    <mergeCell ref="O31:P31"/>
    <mergeCell ref="Q31:R31"/>
    <mergeCell ref="E29:F29"/>
    <mergeCell ref="G29:J29"/>
    <mergeCell ref="K29:L29"/>
    <mergeCell ref="M29:N29"/>
    <mergeCell ref="O29:P29"/>
    <mergeCell ref="Q29:R29"/>
    <mergeCell ref="E30:F30"/>
    <mergeCell ref="G30:J30"/>
    <mergeCell ref="K30:L30"/>
    <mergeCell ref="AH48:AH49"/>
    <mergeCell ref="AI48:AI49"/>
    <mergeCell ref="Q32:R33"/>
    <mergeCell ref="D47:J48"/>
    <mergeCell ref="G33:L37"/>
    <mergeCell ref="M36:N37"/>
    <mergeCell ref="Q54:R54"/>
    <mergeCell ref="Q55:R55"/>
    <mergeCell ref="Q56:R56"/>
    <mergeCell ref="E33:F33"/>
    <mergeCell ref="M33:N33"/>
    <mergeCell ref="O33:P33"/>
    <mergeCell ref="E34:F34"/>
    <mergeCell ref="M34:N34"/>
    <mergeCell ref="O34:P34"/>
    <mergeCell ref="E35:F35"/>
    <mergeCell ref="M35:N35"/>
    <mergeCell ref="O35:P35"/>
    <mergeCell ref="E32:F32"/>
    <mergeCell ref="G32:J32"/>
    <mergeCell ref="K32:L32"/>
    <mergeCell ref="M32:N32"/>
    <mergeCell ref="O32:P32"/>
    <mergeCell ref="Q57:R57"/>
    <mergeCell ref="Q58:R58"/>
    <mergeCell ref="Q59:R59"/>
    <mergeCell ref="Q60:R60"/>
    <mergeCell ref="Q61:R61"/>
    <mergeCell ref="Q62:R62"/>
    <mergeCell ref="E36:F36"/>
    <mergeCell ref="E37:F37"/>
    <mergeCell ref="B45:S45"/>
    <mergeCell ref="B46:S46"/>
    <mergeCell ref="M47:R47"/>
    <mergeCell ref="Q50:R50"/>
    <mergeCell ref="Q51:R51"/>
    <mergeCell ref="Q52:R52"/>
    <mergeCell ref="Q53:R53"/>
    <mergeCell ref="B47:B49"/>
    <mergeCell ref="K47:K49"/>
    <mergeCell ref="M48:M49"/>
    <mergeCell ref="N48:N49"/>
    <mergeCell ref="O48:O49"/>
    <mergeCell ref="P48:P49"/>
    <mergeCell ref="S47:S49"/>
    <mergeCell ref="M30:N30"/>
    <mergeCell ref="O30:P30"/>
    <mergeCell ref="Q30:R30"/>
    <mergeCell ref="E27:F27"/>
    <mergeCell ref="G27:J27"/>
    <mergeCell ref="K27:L27"/>
    <mergeCell ref="M27:N27"/>
    <mergeCell ref="O27:P27"/>
    <mergeCell ref="Q27:R27"/>
    <mergeCell ref="E28:F28"/>
    <mergeCell ref="G28:J28"/>
    <mergeCell ref="K28:L28"/>
    <mergeCell ref="M28:N28"/>
    <mergeCell ref="O28:P28"/>
    <mergeCell ref="Q28:R28"/>
    <mergeCell ref="E25:F25"/>
    <mergeCell ref="G25:J25"/>
    <mergeCell ref="K25:L25"/>
    <mergeCell ref="M25:N25"/>
    <mergeCell ref="O25:P25"/>
    <mergeCell ref="Q25:R25"/>
    <mergeCell ref="E26:F26"/>
    <mergeCell ref="G26:J26"/>
    <mergeCell ref="K26:L26"/>
    <mergeCell ref="M26:N26"/>
    <mergeCell ref="O26:P26"/>
    <mergeCell ref="Q26:R26"/>
    <mergeCell ref="E23:F23"/>
    <mergeCell ref="G23:J23"/>
    <mergeCell ref="K23:L23"/>
    <mergeCell ref="M23:N23"/>
    <mergeCell ref="O23:P23"/>
    <mergeCell ref="Q23:R23"/>
    <mergeCell ref="B24:D24"/>
    <mergeCell ref="E24:F24"/>
    <mergeCell ref="G24:J24"/>
    <mergeCell ref="K24:L24"/>
    <mergeCell ref="M24:N24"/>
    <mergeCell ref="O24:P24"/>
    <mergeCell ref="Q24:R24"/>
    <mergeCell ref="B23:D23"/>
    <mergeCell ref="E21:F21"/>
    <mergeCell ref="G21:J21"/>
    <mergeCell ref="K21:L21"/>
    <mergeCell ref="M21:N21"/>
    <mergeCell ref="O21:P21"/>
    <mergeCell ref="Q21:R21"/>
    <mergeCell ref="B21:D21"/>
    <mergeCell ref="E22:F22"/>
    <mergeCell ref="G22:J22"/>
    <mergeCell ref="K22:L22"/>
    <mergeCell ref="M22:N22"/>
    <mergeCell ref="O22:P22"/>
    <mergeCell ref="Q22:R22"/>
    <mergeCell ref="B22:D22"/>
    <mergeCell ref="M19:P19"/>
    <mergeCell ref="Q19:S19"/>
    <mergeCell ref="B19:D19"/>
    <mergeCell ref="E20:F20"/>
    <mergeCell ref="G20:J20"/>
    <mergeCell ref="K20:L20"/>
    <mergeCell ref="M20:N20"/>
    <mergeCell ref="O20:P20"/>
    <mergeCell ref="Q20:R20"/>
    <mergeCell ref="B20:D20"/>
    <mergeCell ref="B16:D16"/>
    <mergeCell ref="E16:F16"/>
    <mergeCell ref="B17:D17"/>
    <mergeCell ref="E17:F17"/>
    <mergeCell ref="E18:F18"/>
    <mergeCell ref="B18:D18"/>
    <mergeCell ref="E19:F19"/>
    <mergeCell ref="G19:L19"/>
    <mergeCell ref="G18:H18"/>
    <mergeCell ref="I18:J18"/>
    <mergeCell ref="C13:D13"/>
    <mergeCell ref="E13:J13"/>
    <mergeCell ref="K13:N13"/>
    <mergeCell ref="O13:R13"/>
    <mergeCell ref="C14:D14"/>
    <mergeCell ref="E14:J14"/>
    <mergeCell ref="K14:M14"/>
    <mergeCell ref="O14:R14"/>
    <mergeCell ref="D15:Q15"/>
    <mergeCell ref="N9:R9"/>
    <mergeCell ref="C10:D10"/>
    <mergeCell ref="E10:M10"/>
    <mergeCell ref="O10:R10"/>
    <mergeCell ref="C11:D11"/>
    <mergeCell ref="E11:N11"/>
    <mergeCell ref="O11:R11"/>
    <mergeCell ref="C12:D12"/>
    <mergeCell ref="E12:K12"/>
    <mergeCell ref="M12:N12"/>
    <mergeCell ref="O12:R12"/>
    <mergeCell ref="A1:T1"/>
    <mergeCell ref="D2:Q2"/>
    <mergeCell ref="R2:S2"/>
    <mergeCell ref="D3:Q3"/>
    <mergeCell ref="D4:Q4"/>
    <mergeCell ref="C5:D5"/>
    <mergeCell ref="F5:G5"/>
    <mergeCell ref="I5:Q5"/>
    <mergeCell ref="C6:D6"/>
    <mergeCell ref="E6:J6"/>
    <mergeCell ref="K6:M6"/>
    <mergeCell ref="N6:O6"/>
    <mergeCell ref="P6:R6"/>
    <mergeCell ref="A2:A38"/>
    <mergeCell ref="S32:S33"/>
    <mergeCell ref="T2:T38"/>
    <mergeCell ref="C7:D7"/>
    <mergeCell ref="E7:J7"/>
    <mergeCell ref="K7:O7"/>
    <mergeCell ref="P7:R7"/>
    <mergeCell ref="E8:R8"/>
    <mergeCell ref="E9:F9"/>
    <mergeCell ref="G9:K9"/>
    <mergeCell ref="L9:M9"/>
  </mergeCells>
  <dataValidations count="1">
    <dataValidation type="list" allowBlank="1" showErrorMessage="1" sqref="K14" xr:uid="{00000000-0002-0000-0000-000000000000}">
      <formula1>"MALE,FEMALE"</formula1>
    </dataValidation>
  </dataValidations>
  <pageMargins left="0.25" right="0.25" top="0.75" bottom="0.75" header="0" footer="0"/>
  <pageSetup scale="4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
  <sheetViews>
    <sheetView topLeftCell="R8" workbookViewId="0">
      <selection activeCell="D5" sqref="D5"/>
    </sheetView>
  </sheetViews>
  <sheetFormatPr defaultColWidth="14.3515625" defaultRowHeight="15" customHeight="1" x14ac:dyDescent="0.2"/>
  <cols>
    <col min="1" max="1" width="13.31640625" customWidth="1"/>
    <col min="2" max="3" width="8.73046875" hidden="1" customWidth="1"/>
    <col min="4" max="6" width="8.73046875" customWidth="1"/>
    <col min="7" max="7" width="10.20703125" customWidth="1"/>
    <col min="8" max="13" width="8.73046875" customWidth="1"/>
    <col min="14" max="14" width="9.6171875" customWidth="1"/>
    <col min="15" max="16" width="8.73046875" customWidth="1"/>
    <col min="17" max="17" width="9.765625" customWidth="1"/>
    <col min="18" max="21" width="8.73046875" customWidth="1"/>
    <col min="22" max="22" width="10.65234375" customWidth="1"/>
  </cols>
  <sheetData>
    <row r="1" spans="1:22" ht="34.5" customHeight="1" x14ac:dyDescent="0.2">
      <c r="A1" s="271" t="str">
        <f>"માહે માર્ચ  "&amp;DATA!E5&amp;" થી ફેબ્રુઆરી "&amp;DATA!F5</f>
        <v>માહે માર્ચ  2025 થી ફેબ્રુઆરી 2026</v>
      </c>
      <c r="B1" s="272"/>
      <c r="C1" s="272"/>
      <c r="D1" s="272"/>
      <c r="E1" s="272"/>
      <c r="F1" s="272"/>
      <c r="G1" s="272"/>
      <c r="H1" s="272"/>
      <c r="I1" s="272"/>
      <c r="J1" s="272"/>
      <c r="K1" s="272"/>
      <c r="L1" s="272"/>
      <c r="M1" s="272"/>
      <c r="N1" s="272"/>
      <c r="O1" s="272"/>
      <c r="P1" s="272"/>
      <c r="Q1" s="272"/>
      <c r="R1" s="272"/>
      <c r="S1" s="272"/>
      <c r="T1" s="272"/>
      <c r="U1" s="272"/>
      <c r="V1" s="273"/>
    </row>
    <row r="2" spans="1:22" ht="19.5" customHeight="1" x14ac:dyDescent="0.2">
      <c r="A2" s="278" t="s">
        <v>31</v>
      </c>
      <c r="B2" s="285" t="s">
        <v>70</v>
      </c>
      <c r="C2" s="293"/>
      <c r="D2" s="293"/>
      <c r="E2" s="293"/>
      <c r="F2" s="293"/>
      <c r="G2" s="293"/>
      <c r="H2" s="293"/>
      <c r="I2" s="293"/>
      <c r="J2" s="293"/>
      <c r="K2" s="293"/>
      <c r="L2" s="291"/>
      <c r="M2" s="281" t="s">
        <v>71</v>
      </c>
      <c r="N2" s="274" t="s">
        <v>96</v>
      </c>
      <c r="O2" s="275"/>
      <c r="P2" s="275"/>
      <c r="Q2" s="275"/>
      <c r="R2" s="275"/>
      <c r="S2" s="275"/>
      <c r="T2" s="275"/>
      <c r="U2" s="276"/>
      <c r="V2" s="288" t="s">
        <v>73</v>
      </c>
    </row>
    <row r="3" spans="1:22" ht="7.5" customHeight="1" x14ac:dyDescent="0.2">
      <c r="A3" s="279"/>
      <c r="B3" s="286"/>
      <c r="C3" s="294"/>
      <c r="D3" s="294"/>
      <c r="E3" s="294"/>
      <c r="F3" s="294"/>
      <c r="G3" s="294"/>
      <c r="H3" s="294"/>
      <c r="I3" s="294"/>
      <c r="J3" s="294"/>
      <c r="K3" s="294"/>
      <c r="L3" s="292"/>
      <c r="M3" s="282"/>
      <c r="N3" s="21"/>
      <c r="O3" s="284" t="s">
        <v>48</v>
      </c>
      <c r="P3" s="284" t="s">
        <v>74</v>
      </c>
      <c r="Q3" s="285" t="s">
        <v>97</v>
      </c>
      <c r="R3" s="284" t="s">
        <v>76</v>
      </c>
      <c r="S3" s="287" t="s">
        <v>98</v>
      </c>
      <c r="T3" s="285" t="s">
        <v>77</v>
      </c>
      <c r="U3" s="291"/>
      <c r="V3" s="289"/>
    </row>
    <row r="4" spans="1:22" ht="30.75" customHeight="1" x14ac:dyDescent="0.25">
      <c r="A4" s="280"/>
      <c r="B4" s="103" t="s">
        <v>35</v>
      </c>
      <c r="C4" s="103" t="s">
        <v>80</v>
      </c>
      <c r="D4" s="103" t="s">
        <v>40</v>
      </c>
      <c r="E4" s="103" t="s">
        <v>47</v>
      </c>
      <c r="F4" s="103" t="s">
        <v>81</v>
      </c>
      <c r="G4" s="104" t="s">
        <v>82</v>
      </c>
      <c r="H4" s="104" t="s">
        <v>99</v>
      </c>
      <c r="I4" s="104" t="s">
        <v>50</v>
      </c>
      <c r="J4" s="103" t="s">
        <v>83</v>
      </c>
      <c r="K4" s="103" t="s">
        <v>57</v>
      </c>
      <c r="L4" s="103" t="s">
        <v>55</v>
      </c>
      <c r="M4" s="283"/>
      <c r="N4" s="107" t="s">
        <v>100</v>
      </c>
      <c r="O4" s="283"/>
      <c r="P4" s="283"/>
      <c r="Q4" s="286"/>
      <c r="R4" s="283"/>
      <c r="S4" s="283"/>
      <c r="T4" s="286"/>
      <c r="U4" s="292"/>
      <c r="V4" s="290"/>
    </row>
    <row r="5" spans="1:22" ht="27.75" customHeight="1" x14ac:dyDescent="0.2">
      <c r="A5" s="105" t="str">
        <f>DATA!B26</f>
        <v>માર્ચ - 2025</v>
      </c>
      <c r="B5" s="6">
        <f>DATA!D50</f>
        <v>0</v>
      </c>
      <c r="C5" s="6">
        <f>DATA!E50</f>
        <v>0</v>
      </c>
      <c r="D5" s="6">
        <f>DATA!AA50</f>
        <v>53600</v>
      </c>
      <c r="E5" s="6">
        <f>ROUND(D5*DATA!$D$26,0)</f>
        <v>28408</v>
      </c>
      <c r="F5" s="6">
        <f>DATA!H50</f>
        <v>1000</v>
      </c>
      <c r="G5" s="6">
        <f>IF(DATA!C26=24%,360,0)</f>
        <v>0</v>
      </c>
      <c r="H5" s="106">
        <f>DATA!O24</f>
        <v>0</v>
      </c>
      <c r="I5" s="6">
        <f>DATA!O25</f>
        <v>0</v>
      </c>
      <c r="J5" s="6">
        <f>ROUND(D5*DATA!$C$26,0)</f>
        <v>4288</v>
      </c>
      <c r="K5" s="6">
        <f>DATA!O28</f>
        <v>0</v>
      </c>
      <c r="L5" s="6">
        <f>DATA!O27</f>
        <v>0</v>
      </c>
      <c r="M5" s="8">
        <f t="shared" ref="M5:M16" si="0">SUM(D5:L5)</f>
        <v>87296</v>
      </c>
      <c r="N5" s="6">
        <f>DATA!AE50</f>
        <v>0</v>
      </c>
      <c r="O5" s="6">
        <f>DATA!AF50</f>
        <v>800</v>
      </c>
      <c r="P5" s="6">
        <f>DATA!AG50</f>
        <v>200</v>
      </c>
      <c r="Q5" s="6">
        <f>DATA!AH50</f>
        <v>8201</v>
      </c>
      <c r="R5" s="6">
        <f>DATA!AI50</f>
        <v>0</v>
      </c>
      <c r="S5" s="34">
        <f>DATA!K24</f>
        <v>6575</v>
      </c>
      <c r="T5" s="277">
        <f t="shared" ref="T5:T16" si="1">SUM(N5:S5)</f>
        <v>15776</v>
      </c>
      <c r="U5" s="276"/>
      <c r="V5" s="108">
        <f t="shared" ref="V5:V16" si="2">M5-T5</f>
        <v>71520</v>
      </c>
    </row>
    <row r="6" spans="1:22" ht="27.75" customHeight="1" x14ac:dyDescent="0.2">
      <c r="A6" s="105" t="str">
        <f>DATA!B27</f>
        <v>એપ્રિલ - 2025</v>
      </c>
      <c r="B6" s="6">
        <f>DATA!D51</f>
        <v>0</v>
      </c>
      <c r="C6" s="6">
        <f>DATA!E51</f>
        <v>0</v>
      </c>
      <c r="D6" s="6">
        <f>DATA!AA51</f>
        <v>53600</v>
      </c>
      <c r="E6" s="6">
        <f>ROUND(D6*DATA!$D$27,0)</f>
        <v>29480</v>
      </c>
      <c r="F6" s="6">
        <f>DATA!H51</f>
        <v>1000</v>
      </c>
      <c r="G6" s="6">
        <f>IF(DATA!C27=24%,360,0)</f>
        <v>0</v>
      </c>
      <c r="H6" s="106">
        <f t="shared" ref="H6:I6" si="3">H5</f>
        <v>0</v>
      </c>
      <c r="I6" s="6">
        <f t="shared" si="3"/>
        <v>0</v>
      </c>
      <c r="J6" s="6">
        <f>ROUND(D6*DATA!$C$27,0)</f>
        <v>4288</v>
      </c>
      <c r="K6" s="6">
        <f t="shared" ref="K6:L6" si="4">K5</f>
        <v>0</v>
      </c>
      <c r="L6" s="6">
        <f t="shared" si="4"/>
        <v>0</v>
      </c>
      <c r="M6" s="8">
        <f t="shared" si="0"/>
        <v>88368</v>
      </c>
      <c r="N6" s="6">
        <f>DATA!AE51</f>
        <v>0</v>
      </c>
      <c r="O6" s="6">
        <f>DATA!AF51</f>
        <v>800</v>
      </c>
      <c r="P6" s="6">
        <f>DATA!AG51</f>
        <v>200</v>
      </c>
      <c r="Q6" s="6">
        <f>DATA!AH51</f>
        <v>8308</v>
      </c>
      <c r="R6" s="6">
        <f>DATA!AI51</f>
        <v>0</v>
      </c>
      <c r="S6" s="34">
        <f t="shared" ref="S6:S16" si="5">S5</f>
        <v>6575</v>
      </c>
      <c r="T6" s="277">
        <f t="shared" si="1"/>
        <v>15883</v>
      </c>
      <c r="U6" s="276"/>
      <c r="V6" s="108">
        <f t="shared" si="2"/>
        <v>72485</v>
      </c>
    </row>
    <row r="7" spans="1:22" ht="27.75" customHeight="1" x14ac:dyDescent="0.2">
      <c r="A7" s="105" t="str">
        <f>DATA!B28</f>
        <v>મે - 2025</v>
      </c>
      <c r="B7" s="6">
        <f>DATA!D52</f>
        <v>0</v>
      </c>
      <c r="C7" s="6">
        <f>DATA!E52</f>
        <v>0</v>
      </c>
      <c r="D7" s="6">
        <f>DATA!AA52</f>
        <v>53600</v>
      </c>
      <c r="E7" s="6">
        <f>ROUND(D7*DATA!$D$28,0)</f>
        <v>29480</v>
      </c>
      <c r="F7" s="6">
        <f>DATA!H52</f>
        <v>1000</v>
      </c>
      <c r="G7" s="6">
        <f>IF(DATA!C28=24%,360,0)</f>
        <v>0</v>
      </c>
      <c r="H7" s="106">
        <f t="shared" ref="H7:I7" si="6">H6</f>
        <v>0</v>
      </c>
      <c r="I7" s="6">
        <f t="shared" si="6"/>
        <v>0</v>
      </c>
      <c r="J7" s="6">
        <f>ROUND(D7*DATA!$C$28,0)</f>
        <v>4288</v>
      </c>
      <c r="K7" s="6">
        <f t="shared" ref="K7:L7" si="7">K6</f>
        <v>0</v>
      </c>
      <c r="L7" s="6">
        <f t="shared" si="7"/>
        <v>0</v>
      </c>
      <c r="M7" s="8">
        <f t="shared" si="0"/>
        <v>88368</v>
      </c>
      <c r="N7" s="6">
        <f>DATA!AE52</f>
        <v>0</v>
      </c>
      <c r="O7" s="6">
        <f>DATA!AF52</f>
        <v>800</v>
      </c>
      <c r="P7" s="6">
        <f>DATA!AG52</f>
        <v>200</v>
      </c>
      <c r="Q7" s="6">
        <f>DATA!AH52</f>
        <v>8308</v>
      </c>
      <c r="R7" s="6">
        <f>DATA!AI52</f>
        <v>0</v>
      </c>
      <c r="S7" s="34">
        <f t="shared" si="5"/>
        <v>6575</v>
      </c>
      <c r="T7" s="277">
        <f t="shared" si="1"/>
        <v>15883</v>
      </c>
      <c r="U7" s="276"/>
      <c r="V7" s="108">
        <f t="shared" si="2"/>
        <v>72485</v>
      </c>
    </row>
    <row r="8" spans="1:22" ht="27.75" customHeight="1" x14ac:dyDescent="0.2">
      <c r="A8" s="105" t="str">
        <f>DATA!B29</f>
        <v>જૂન - 2025</v>
      </c>
      <c r="B8" s="6">
        <f>DATA!D53</f>
        <v>0</v>
      </c>
      <c r="C8" s="6">
        <f>DATA!E53</f>
        <v>0</v>
      </c>
      <c r="D8" s="6">
        <f>DATA!AA53</f>
        <v>53600</v>
      </c>
      <c r="E8" s="6">
        <f>ROUND(D8*DATA!$D$29,0)</f>
        <v>29480</v>
      </c>
      <c r="F8" s="6">
        <f>DATA!H53</f>
        <v>1000</v>
      </c>
      <c r="G8" s="6">
        <f>IF(DATA!C29=24%,360,0)</f>
        <v>0</v>
      </c>
      <c r="H8" s="106">
        <f t="shared" ref="H8:I8" si="8">H7</f>
        <v>0</v>
      </c>
      <c r="I8" s="6">
        <f t="shared" si="8"/>
        <v>0</v>
      </c>
      <c r="J8" s="6">
        <f>ROUND(D8*DATA!$C$29,0)</f>
        <v>4288</v>
      </c>
      <c r="K8" s="6">
        <f t="shared" ref="K8:L8" si="9">K7</f>
        <v>0</v>
      </c>
      <c r="L8" s="6">
        <f t="shared" si="9"/>
        <v>0</v>
      </c>
      <c r="M8" s="8">
        <f t="shared" si="0"/>
        <v>88368</v>
      </c>
      <c r="N8" s="6">
        <f>DATA!AE53</f>
        <v>0</v>
      </c>
      <c r="O8" s="6">
        <f>DATA!AF53</f>
        <v>800</v>
      </c>
      <c r="P8" s="6">
        <f>DATA!AG53</f>
        <v>200</v>
      </c>
      <c r="Q8" s="6">
        <f>DATA!AH53</f>
        <v>8308</v>
      </c>
      <c r="R8" s="6">
        <f>DATA!AI53</f>
        <v>0</v>
      </c>
      <c r="S8" s="34">
        <f t="shared" si="5"/>
        <v>6575</v>
      </c>
      <c r="T8" s="277">
        <f t="shared" si="1"/>
        <v>15883</v>
      </c>
      <c r="U8" s="276"/>
      <c r="V8" s="108">
        <f t="shared" si="2"/>
        <v>72485</v>
      </c>
    </row>
    <row r="9" spans="1:22" ht="27.75" customHeight="1" x14ac:dyDescent="0.2">
      <c r="A9" s="105" t="str">
        <f>DATA!B30</f>
        <v>જુલાઈ - 2025</v>
      </c>
      <c r="B9" s="6">
        <f>DATA!D54</f>
        <v>0</v>
      </c>
      <c r="C9" s="6">
        <f>DATA!E54</f>
        <v>0</v>
      </c>
      <c r="D9" s="6">
        <f>DATA!AA54</f>
        <v>55200</v>
      </c>
      <c r="E9" s="6">
        <f>ROUND(D9*DATA!$D$30,0)</f>
        <v>30360</v>
      </c>
      <c r="F9" s="6">
        <f>DATA!H54</f>
        <v>1000</v>
      </c>
      <c r="G9" s="6">
        <f>IF(DATA!C30=24%,360,0)</f>
        <v>0</v>
      </c>
      <c r="H9" s="106">
        <f t="shared" ref="H9:I9" si="10">H8</f>
        <v>0</v>
      </c>
      <c r="I9" s="6">
        <f t="shared" si="10"/>
        <v>0</v>
      </c>
      <c r="J9" s="6">
        <f>ROUND(D9*DATA!$C$30,0)</f>
        <v>4416</v>
      </c>
      <c r="K9" s="6">
        <f t="shared" ref="K9:L9" si="11">K8</f>
        <v>0</v>
      </c>
      <c r="L9" s="6">
        <f t="shared" si="11"/>
        <v>0</v>
      </c>
      <c r="M9" s="8">
        <f t="shared" si="0"/>
        <v>90976</v>
      </c>
      <c r="N9" s="6">
        <f>DATA!AE54</f>
        <v>0</v>
      </c>
      <c r="O9" s="6">
        <f>DATA!AF54</f>
        <v>800</v>
      </c>
      <c r="P9" s="6">
        <f>DATA!AG54</f>
        <v>200</v>
      </c>
      <c r="Q9" s="6">
        <f>DATA!AH54</f>
        <v>8556</v>
      </c>
      <c r="R9" s="6">
        <f>DATA!AI54</f>
        <v>0</v>
      </c>
      <c r="S9" s="34">
        <f t="shared" si="5"/>
        <v>6575</v>
      </c>
      <c r="T9" s="277">
        <f t="shared" si="1"/>
        <v>16131</v>
      </c>
      <c r="U9" s="276"/>
      <c r="V9" s="108">
        <f t="shared" si="2"/>
        <v>74845</v>
      </c>
    </row>
    <row r="10" spans="1:22" ht="27.75" customHeight="1" x14ac:dyDescent="0.2">
      <c r="A10" s="105" t="str">
        <f>DATA!B31</f>
        <v>ઓગષ્ટ - 2025</v>
      </c>
      <c r="B10" s="6">
        <f>DATA!D55</f>
        <v>0</v>
      </c>
      <c r="C10" s="6">
        <f>DATA!E55</f>
        <v>0</v>
      </c>
      <c r="D10" s="6">
        <f>DATA!AA55</f>
        <v>55200</v>
      </c>
      <c r="E10" s="6">
        <f>ROUND(D10*DATA!$D$31,0)</f>
        <v>30360</v>
      </c>
      <c r="F10" s="6">
        <f>DATA!H55</f>
        <v>1000</v>
      </c>
      <c r="G10" s="6">
        <f>IF(DATA!C31=24%,360,0)</f>
        <v>0</v>
      </c>
      <c r="H10" s="106">
        <f t="shared" ref="H10:I10" si="12">H9</f>
        <v>0</v>
      </c>
      <c r="I10" s="6">
        <f t="shared" si="12"/>
        <v>0</v>
      </c>
      <c r="J10" s="6">
        <f>ROUND(D10*DATA!$C$31,0)</f>
        <v>4416</v>
      </c>
      <c r="K10" s="6">
        <f t="shared" ref="K10:L10" si="13">K9</f>
        <v>0</v>
      </c>
      <c r="L10" s="6">
        <f t="shared" si="13"/>
        <v>0</v>
      </c>
      <c r="M10" s="8">
        <f t="shared" si="0"/>
        <v>90976</v>
      </c>
      <c r="N10" s="6">
        <f>DATA!AE55</f>
        <v>0</v>
      </c>
      <c r="O10" s="6">
        <f>DATA!AF55</f>
        <v>800</v>
      </c>
      <c r="P10" s="6">
        <f>DATA!AG55</f>
        <v>200</v>
      </c>
      <c r="Q10" s="6">
        <f>DATA!AH55</f>
        <v>8556</v>
      </c>
      <c r="R10" s="6">
        <f>DATA!AI55</f>
        <v>0</v>
      </c>
      <c r="S10" s="34">
        <f t="shared" si="5"/>
        <v>6575</v>
      </c>
      <c r="T10" s="277">
        <f t="shared" si="1"/>
        <v>16131</v>
      </c>
      <c r="U10" s="276"/>
      <c r="V10" s="108">
        <f t="shared" si="2"/>
        <v>74845</v>
      </c>
    </row>
    <row r="11" spans="1:22" ht="27.75" customHeight="1" x14ac:dyDescent="0.2">
      <c r="A11" s="105" t="str">
        <f>DATA!B32</f>
        <v>સપ્ટે. - 2025</v>
      </c>
      <c r="B11" s="6">
        <f>DATA!D56</f>
        <v>0</v>
      </c>
      <c r="C11" s="6">
        <f>DATA!E56</f>
        <v>0</v>
      </c>
      <c r="D11" s="6">
        <f>DATA!AA56</f>
        <v>55200</v>
      </c>
      <c r="E11" s="6">
        <f>ROUND(D11*DATA!$D$32,0)</f>
        <v>30360</v>
      </c>
      <c r="F11" s="6">
        <f>DATA!H56</f>
        <v>1000</v>
      </c>
      <c r="G11" s="6">
        <f>IF(DATA!C32=24%,360,0)</f>
        <v>0</v>
      </c>
      <c r="H11" s="106">
        <f t="shared" ref="H11:I11" si="14">H10</f>
        <v>0</v>
      </c>
      <c r="I11" s="6">
        <f t="shared" si="14"/>
        <v>0</v>
      </c>
      <c r="J11" s="6">
        <f>ROUND(D11*DATA!$C$32,0)</f>
        <v>4416</v>
      </c>
      <c r="K11" s="6">
        <f t="shared" ref="K11:L11" si="15">K10</f>
        <v>0</v>
      </c>
      <c r="L11" s="6">
        <f t="shared" si="15"/>
        <v>0</v>
      </c>
      <c r="M11" s="8">
        <f t="shared" si="0"/>
        <v>90976</v>
      </c>
      <c r="N11" s="6">
        <f>DATA!AE56</f>
        <v>0</v>
      </c>
      <c r="O11" s="6">
        <f>DATA!AF56</f>
        <v>800</v>
      </c>
      <c r="P11" s="6">
        <f>DATA!AG56</f>
        <v>200</v>
      </c>
      <c r="Q11" s="6">
        <f>DATA!AH56</f>
        <v>8556</v>
      </c>
      <c r="R11" s="6">
        <f>DATA!AI56</f>
        <v>0</v>
      </c>
      <c r="S11" s="34">
        <f t="shared" si="5"/>
        <v>6575</v>
      </c>
      <c r="T11" s="277">
        <f t="shared" si="1"/>
        <v>16131</v>
      </c>
      <c r="U11" s="276"/>
      <c r="V11" s="108">
        <f t="shared" si="2"/>
        <v>74845</v>
      </c>
    </row>
    <row r="12" spans="1:22" ht="27.75" customHeight="1" x14ac:dyDescent="0.2">
      <c r="A12" s="105" t="str">
        <f>DATA!B33</f>
        <v>ઓકટો.- 2025</v>
      </c>
      <c r="B12" s="6">
        <f>DATA!D57</f>
        <v>0</v>
      </c>
      <c r="C12" s="6">
        <f>DATA!E57</f>
        <v>0</v>
      </c>
      <c r="D12" s="6">
        <f>DATA!AA57</f>
        <v>55200</v>
      </c>
      <c r="E12" s="6">
        <f>ROUND(D12*DATA!$D$33,0)</f>
        <v>32016</v>
      </c>
      <c r="F12" s="6">
        <f>DATA!H57</f>
        <v>1000</v>
      </c>
      <c r="G12" s="6">
        <f>IF(DATA!C33=24%,360,0)</f>
        <v>0</v>
      </c>
      <c r="H12" s="106">
        <f t="shared" ref="H12:I12" si="16">H11</f>
        <v>0</v>
      </c>
      <c r="I12" s="6">
        <f t="shared" si="16"/>
        <v>0</v>
      </c>
      <c r="J12" s="6">
        <f>ROUND(D12*DATA!$C$33,0)</f>
        <v>4416</v>
      </c>
      <c r="K12" s="6">
        <f t="shared" ref="K12:L12" si="17">K11</f>
        <v>0</v>
      </c>
      <c r="L12" s="6">
        <f t="shared" si="17"/>
        <v>0</v>
      </c>
      <c r="M12" s="8">
        <f t="shared" si="0"/>
        <v>92632</v>
      </c>
      <c r="N12" s="6">
        <f>DATA!AE57</f>
        <v>0</v>
      </c>
      <c r="O12" s="6">
        <f>DATA!AF57</f>
        <v>800</v>
      </c>
      <c r="P12" s="6">
        <f>DATA!AG57</f>
        <v>200</v>
      </c>
      <c r="Q12" s="6">
        <f>DATA!AH57</f>
        <v>8722</v>
      </c>
      <c r="R12" s="6">
        <f>DATA!AI57</f>
        <v>0</v>
      </c>
      <c r="S12" s="34">
        <f t="shared" si="5"/>
        <v>6575</v>
      </c>
      <c r="T12" s="277">
        <f t="shared" si="1"/>
        <v>16297</v>
      </c>
      <c r="U12" s="276"/>
      <c r="V12" s="108">
        <f t="shared" si="2"/>
        <v>76335</v>
      </c>
    </row>
    <row r="13" spans="1:22" ht="27.75" customHeight="1" x14ac:dyDescent="0.2">
      <c r="A13" s="105" t="str">
        <f>DATA!B34</f>
        <v>નવે. - 2025</v>
      </c>
      <c r="B13" s="6">
        <f>DATA!D58</f>
        <v>0</v>
      </c>
      <c r="C13" s="6">
        <f>DATA!E58</f>
        <v>0</v>
      </c>
      <c r="D13" s="6">
        <f>DATA!AA58</f>
        <v>55200</v>
      </c>
      <c r="E13" s="6">
        <f>ROUND(D13*DATA!$D$34,0)</f>
        <v>32016</v>
      </c>
      <c r="F13" s="6">
        <f>DATA!H58</f>
        <v>1000</v>
      </c>
      <c r="G13" s="6">
        <f>IF(DATA!C34=24%,360,0)</f>
        <v>0</v>
      </c>
      <c r="H13" s="106">
        <f t="shared" ref="H13:I13" si="18">H12</f>
        <v>0</v>
      </c>
      <c r="I13" s="6">
        <f t="shared" si="18"/>
        <v>0</v>
      </c>
      <c r="J13" s="6">
        <f>ROUND((D13)*DATA!$C$34,0)</f>
        <v>4416</v>
      </c>
      <c r="K13" s="6">
        <f t="shared" ref="K13:L13" si="19">K12</f>
        <v>0</v>
      </c>
      <c r="L13" s="6">
        <f t="shared" si="19"/>
        <v>0</v>
      </c>
      <c r="M13" s="8">
        <f t="shared" si="0"/>
        <v>92632</v>
      </c>
      <c r="N13" s="6">
        <f>DATA!AE58</f>
        <v>0</v>
      </c>
      <c r="O13" s="6">
        <f>DATA!AF58</f>
        <v>800</v>
      </c>
      <c r="P13" s="6">
        <f>DATA!AG58</f>
        <v>200</v>
      </c>
      <c r="Q13" s="6">
        <f>DATA!AH58</f>
        <v>8722</v>
      </c>
      <c r="R13" s="6">
        <f>DATA!AI58</f>
        <v>0</v>
      </c>
      <c r="S13" s="34">
        <f t="shared" si="5"/>
        <v>6575</v>
      </c>
      <c r="T13" s="277">
        <f t="shared" si="1"/>
        <v>16297</v>
      </c>
      <c r="U13" s="276"/>
      <c r="V13" s="108">
        <f t="shared" si="2"/>
        <v>76335</v>
      </c>
    </row>
    <row r="14" spans="1:22" ht="27.75" customHeight="1" x14ac:dyDescent="0.2">
      <c r="A14" s="105" t="str">
        <f>DATA!B35</f>
        <v>ડિસે. - 2025</v>
      </c>
      <c r="B14" s="6">
        <f>DATA!D59</f>
        <v>0</v>
      </c>
      <c r="C14" s="6">
        <f>DATA!E59</f>
        <v>0</v>
      </c>
      <c r="D14" s="6">
        <f>DATA!AA59</f>
        <v>55200</v>
      </c>
      <c r="E14" s="6">
        <f>ROUND(D14*DATA!$D$35,0)</f>
        <v>32016</v>
      </c>
      <c r="F14" s="6">
        <f>DATA!H59</f>
        <v>1000</v>
      </c>
      <c r="G14" s="6">
        <f>IF(DATA!C35=24%,360,0)</f>
        <v>0</v>
      </c>
      <c r="H14" s="106">
        <f t="shared" ref="H14:I14" si="20">H13</f>
        <v>0</v>
      </c>
      <c r="I14" s="6">
        <f t="shared" si="20"/>
        <v>0</v>
      </c>
      <c r="J14" s="6">
        <f>ROUND((D14)*DATA!$C$35,0)</f>
        <v>4416</v>
      </c>
      <c r="K14" s="6">
        <f t="shared" ref="K14:L14" si="21">K13</f>
        <v>0</v>
      </c>
      <c r="L14" s="6">
        <f t="shared" si="21"/>
        <v>0</v>
      </c>
      <c r="M14" s="8">
        <f t="shared" si="0"/>
        <v>92632</v>
      </c>
      <c r="N14" s="6">
        <f>DATA!AE59</f>
        <v>0</v>
      </c>
      <c r="O14" s="6">
        <f>DATA!AF59</f>
        <v>800</v>
      </c>
      <c r="P14" s="6">
        <f>DATA!AG59</f>
        <v>200</v>
      </c>
      <c r="Q14" s="6">
        <f>DATA!AH59</f>
        <v>8722</v>
      </c>
      <c r="R14" s="6">
        <f>DATA!AI59</f>
        <v>0</v>
      </c>
      <c r="S14" s="34">
        <f t="shared" si="5"/>
        <v>6575</v>
      </c>
      <c r="T14" s="277">
        <f t="shared" si="1"/>
        <v>16297</v>
      </c>
      <c r="U14" s="276"/>
      <c r="V14" s="108">
        <f t="shared" si="2"/>
        <v>76335</v>
      </c>
    </row>
    <row r="15" spans="1:22" ht="27.75" customHeight="1" x14ac:dyDescent="0.2">
      <c r="A15" s="105" t="str">
        <f>DATA!B36</f>
        <v>જાન્યુ. - 2026</v>
      </c>
      <c r="B15" s="6">
        <f>DATA!D60</f>
        <v>0</v>
      </c>
      <c r="C15" s="6">
        <f>DATA!E60</f>
        <v>0</v>
      </c>
      <c r="D15" s="6">
        <f>DATA!AA60</f>
        <v>55200</v>
      </c>
      <c r="E15" s="6">
        <f>ROUND(D15*DATA!$D$36,0)</f>
        <v>32016</v>
      </c>
      <c r="F15" s="6">
        <f>DATA!H60</f>
        <v>1000</v>
      </c>
      <c r="G15" s="6">
        <f>IF(DATA!C36=24%,360,0)</f>
        <v>0</v>
      </c>
      <c r="H15" s="106">
        <f t="shared" ref="H15:I15" si="22">H14</f>
        <v>0</v>
      </c>
      <c r="I15" s="6">
        <f t="shared" si="22"/>
        <v>0</v>
      </c>
      <c r="J15" s="6">
        <f>ROUND((D15)*DATA!$C$36,0)</f>
        <v>4416</v>
      </c>
      <c r="K15" s="6">
        <f t="shared" ref="K15:L15" si="23">K14</f>
        <v>0</v>
      </c>
      <c r="L15" s="6">
        <f t="shared" si="23"/>
        <v>0</v>
      </c>
      <c r="M15" s="8">
        <f t="shared" si="0"/>
        <v>92632</v>
      </c>
      <c r="N15" s="6">
        <f>DATA!AE60</f>
        <v>0</v>
      </c>
      <c r="O15" s="6">
        <f>DATA!AF60</f>
        <v>800</v>
      </c>
      <c r="P15" s="6">
        <f>DATA!AG60</f>
        <v>200</v>
      </c>
      <c r="Q15" s="6">
        <f>DATA!AH60</f>
        <v>8722</v>
      </c>
      <c r="R15" s="6">
        <f>DATA!AI60</f>
        <v>0</v>
      </c>
      <c r="S15" s="34">
        <f t="shared" si="5"/>
        <v>6575</v>
      </c>
      <c r="T15" s="277">
        <f t="shared" si="1"/>
        <v>16297</v>
      </c>
      <c r="U15" s="276"/>
      <c r="V15" s="108">
        <f t="shared" si="2"/>
        <v>76335</v>
      </c>
    </row>
    <row r="16" spans="1:22" ht="27.75" customHeight="1" x14ac:dyDescent="0.2">
      <c r="A16" s="105" t="str">
        <f>DATA!B37</f>
        <v>ફેબ્રુ. -2026</v>
      </c>
      <c r="B16" s="6">
        <f>DATA!D61</f>
        <v>0</v>
      </c>
      <c r="C16" s="6">
        <f>DATA!E61</f>
        <v>0</v>
      </c>
      <c r="D16" s="6">
        <f>DATA!AA61</f>
        <v>55200</v>
      </c>
      <c r="E16" s="6">
        <f>ROUND(D16*DATA!$D$37,0)</f>
        <v>32016</v>
      </c>
      <c r="F16" s="6">
        <f>DATA!H61</f>
        <v>1000</v>
      </c>
      <c r="G16" s="6">
        <f>IF(DATA!C37=24%,360,0)</f>
        <v>0</v>
      </c>
      <c r="H16" s="106">
        <f t="shared" ref="H16:I16" si="24">H15</f>
        <v>0</v>
      </c>
      <c r="I16" s="6">
        <f t="shared" si="24"/>
        <v>0</v>
      </c>
      <c r="J16" s="6">
        <f>ROUND((D16)*DATA!$C$37,0)</f>
        <v>4416</v>
      </c>
      <c r="K16" s="6">
        <f t="shared" ref="K16:L16" si="25">K15</f>
        <v>0</v>
      </c>
      <c r="L16" s="6">
        <f t="shared" si="25"/>
        <v>0</v>
      </c>
      <c r="M16" s="8">
        <f t="shared" si="0"/>
        <v>92632</v>
      </c>
      <c r="N16" s="6">
        <f>DATA!AE61</f>
        <v>0</v>
      </c>
      <c r="O16" s="6">
        <f>DATA!AF61</f>
        <v>800</v>
      </c>
      <c r="P16" s="6">
        <f>DATA!AG61</f>
        <v>200</v>
      </c>
      <c r="Q16" s="6">
        <f>DATA!AH61</f>
        <v>8722</v>
      </c>
      <c r="R16" s="6">
        <f>DATA!AI61</f>
        <v>0</v>
      </c>
      <c r="S16" s="34">
        <f t="shared" si="5"/>
        <v>6575</v>
      </c>
      <c r="T16" s="277">
        <f t="shared" si="1"/>
        <v>16297</v>
      </c>
      <c r="U16" s="276"/>
      <c r="V16" s="108">
        <f t="shared" si="2"/>
        <v>76335</v>
      </c>
    </row>
    <row r="17" spans="1:22" s="166" customFormat="1" ht="27.75" customHeight="1" x14ac:dyDescent="0.2">
      <c r="A17" s="162" t="s">
        <v>101</v>
      </c>
      <c r="B17" s="163">
        <f t="shared" ref="B17:T17" si="26">SUM(B5:B16)</f>
        <v>0</v>
      </c>
      <c r="C17" s="163">
        <f t="shared" si="26"/>
        <v>0</v>
      </c>
      <c r="D17" s="163">
        <f t="shared" si="26"/>
        <v>656000</v>
      </c>
      <c r="E17" s="163">
        <f t="shared" si="26"/>
        <v>368008</v>
      </c>
      <c r="F17" s="163">
        <f t="shared" si="26"/>
        <v>12000</v>
      </c>
      <c r="G17" s="163">
        <f t="shared" si="26"/>
        <v>0</v>
      </c>
      <c r="H17" s="164">
        <f t="shared" si="26"/>
        <v>0</v>
      </c>
      <c r="I17" s="163">
        <f t="shared" si="26"/>
        <v>0</v>
      </c>
      <c r="J17" s="163">
        <f t="shared" si="26"/>
        <v>52480</v>
      </c>
      <c r="K17" s="163">
        <f t="shared" si="26"/>
        <v>0</v>
      </c>
      <c r="L17" s="163">
        <f t="shared" si="26"/>
        <v>0</v>
      </c>
      <c r="M17" s="163">
        <f t="shared" si="26"/>
        <v>1088488</v>
      </c>
      <c r="N17" s="163">
        <f t="shared" si="26"/>
        <v>0</v>
      </c>
      <c r="O17" s="163">
        <f t="shared" si="26"/>
        <v>9600</v>
      </c>
      <c r="P17" s="163">
        <f t="shared" si="26"/>
        <v>2400</v>
      </c>
      <c r="Q17" s="163">
        <f t="shared" si="26"/>
        <v>102403</v>
      </c>
      <c r="R17" s="163">
        <f t="shared" si="26"/>
        <v>0</v>
      </c>
      <c r="S17" s="163">
        <f t="shared" si="26"/>
        <v>78900</v>
      </c>
      <c r="T17" s="295">
        <f t="shared" si="26"/>
        <v>193303</v>
      </c>
      <c r="U17" s="296"/>
      <c r="V17" s="165">
        <f>SUM(V5:V16)</f>
        <v>895185</v>
      </c>
    </row>
    <row r="18" spans="1:22" ht="12.75" customHeight="1" x14ac:dyDescent="0.2"/>
    <row r="19" spans="1:22" ht="12.75" customHeight="1" x14ac:dyDescent="0.2"/>
    <row r="20" spans="1:22" ht="12.75" customHeight="1" x14ac:dyDescent="0.2"/>
    <row r="21" spans="1:22" ht="12.75" customHeight="1" x14ac:dyDescent="0.2"/>
    <row r="22" spans="1:22" ht="12.75" customHeight="1" x14ac:dyDescent="0.2"/>
    <row r="23" spans="1:22" ht="12.75" customHeight="1" x14ac:dyDescent="0.2"/>
    <row r="24" spans="1:22" ht="12.75" customHeight="1" x14ac:dyDescent="0.2"/>
    <row r="25" spans="1:22" ht="12.75" customHeight="1" x14ac:dyDescent="0.2"/>
    <row r="26" spans="1:22" ht="12.75" customHeight="1" x14ac:dyDescent="0.2"/>
    <row r="27" spans="1:22" ht="12.75" customHeight="1" x14ac:dyDescent="0.2"/>
    <row r="28" spans="1:22" ht="12.75" customHeight="1" x14ac:dyDescent="0.2"/>
    <row r="29" spans="1:22" ht="12.75" customHeight="1" x14ac:dyDescent="0.2"/>
    <row r="30" spans="1:22" ht="12.75" customHeight="1" x14ac:dyDescent="0.2"/>
    <row r="31" spans="1:22" ht="12.75" customHeight="1" x14ac:dyDescent="0.2"/>
    <row r="32" spans="1:2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sheetProtection password="C045" sheet="1" objects="1" scenarios="1"/>
  <mergeCells count="25">
    <mergeCell ref="T13:U13"/>
    <mergeCell ref="T14:U14"/>
    <mergeCell ref="T15:U15"/>
    <mergeCell ref="T16:U16"/>
    <mergeCell ref="T17:U17"/>
    <mergeCell ref="T8:U8"/>
    <mergeCell ref="T9:U9"/>
    <mergeCell ref="T10:U10"/>
    <mergeCell ref="T11:U11"/>
    <mergeCell ref="T12:U12"/>
    <mergeCell ref="A1:V1"/>
    <mergeCell ref="N2:U2"/>
    <mergeCell ref="T5:U5"/>
    <mergeCell ref="T6:U6"/>
    <mergeCell ref="T7:U7"/>
    <mergeCell ref="A2:A4"/>
    <mergeCell ref="M2:M4"/>
    <mergeCell ref="O3:O4"/>
    <mergeCell ref="P3:P4"/>
    <mergeCell ref="Q3:Q4"/>
    <mergeCell ref="R3:R4"/>
    <mergeCell ref="S3:S4"/>
    <mergeCell ref="V2:V4"/>
    <mergeCell ref="T3:U4"/>
    <mergeCell ref="B2:L3"/>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38953"/>
  </sheetPr>
  <dimension ref="A1:Q114"/>
  <sheetViews>
    <sheetView tabSelected="1" view="pageBreakPreview" topLeftCell="O1" zoomScaleSheetLayoutView="100" workbookViewId="0">
      <selection activeCell="B61" sqref="B61:J61"/>
    </sheetView>
  </sheetViews>
  <sheetFormatPr defaultColWidth="14.3515625" defaultRowHeight="15" customHeight="1" x14ac:dyDescent="0.2"/>
  <cols>
    <col min="1" max="1" width="9.6171875" customWidth="1"/>
    <col min="2" max="2" width="18.9375" customWidth="1"/>
    <col min="3" max="3" width="13.61328125" customWidth="1"/>
    <col min="4" max="4" width="12.72265625" customWidth="1"/>
    <col min="5" max="5" width="9.9140625" customWidth="1"/>
    <col min="6" max="9" width="6.06640625" customWidth="1"/>
    <col min="10" max="10" width="8.58203125" customWidth="1"/>
    <col min="11" max="11" width="7.25" customWidth="1"/>
    <col min="12" max="12" width="6.5078125" customWidth="1"/>
    <col min="13" max="13" width="3.55078125" customWidth="1"/>
    <col min="14" max="14" width="5.47265625" customWidth="1"/>
    <col min="15" max="15" width="6.06640625" customWidth="1"/>
    <col min="16" max="17" width="9.171875" customWidth="1"/>
  </cols>
  <sheetData>
    <row r="1" spans="1:17" s="168" customFormat="1" ht="18.75" x14ac:dyDescent="0.25">
      <c r="A1" s="297" t="s">
        <v>102</v>
      </c>
      <c r="B1" s="298"/>
      <c r="C1" s="299" t="str">
        <f>DATA!P6</f>
        <v xml:space="preserve">KADJODARA </v>
      </c>
      <c r="D1" s="298"/>
      <c r="E1" s="298"/>
      <c r="F1" s="300" t="str">
        <f>DATA!E6</f>
        <v xml:space="preserve">KADJODARA </v>
      </c>
      <c r="G1" s="298"/>
      <c r="H1" s="298"/>
      <c r="I1" s="298"/>
      <c r="J1" s="298"/>
      <c r="K1" s="298"/>
      <c r="L1" s="298"/>
      <c r="M1" s="299" t="str">
        <f>DATA!K6</f>
        <v>પ્રા.શાળા</v>
      </c>
      <c r="N1" s="298"/>
      <c r="O1" s="301"/>
      <c r="P1" s="167"/>
      <c r="Q1" s="167"/>
    </row>
    <row r="2" spans="1:17" ht="17.25" customHeight="1" x14ac:dyDescent="0.2">
      <c r="A2" s="302" t="s">
        <v>103</v>
      </c>
      <c r="B2" s="303"/>
      <c r="C2" s="304" t="str">
        <f>DATA!E5&amp;" - "&amp;DATA!F5</f>
        <v>2025 - 2026</v>
      </c>
      <c r="D2" s="303"/>
      <c r="E2" s="303"/>
      <c r="F2" s="12"/>
      <c r="G2" s="12"/>
      <c r="H2" s="305" t="s">
        <v>104</v>
      </c>
      <c r="I2" s="303"/>
      <c r="J2" s="303"/>
      <c r="K2" s="303"/>
      <c r="L2" s="304" t="str">
        <f>(DATA!E5)+1&amp;" - "&amp;(DATA!F5)+1</f>
        <v>2026 - 2027</v>
      </c>
      <c r="M2" s="303"/>
      <c r="N2" s="303"/>
      <c r="O2" s="306"/>
      <c r="P2" s="24"/>
      <c r="Q2" s="24"/>
    </row>
    <row r="3" spans="1:17" ht="14.25" x14ac:dyDescent="0.2">
      <c r="A3" s="13"/>
      <c r="B3" s="307" t="s">
        <v>105</v>
      </c>
      <c r="C3" s="303"/>
      <c r="D3" s="303"/>
      <c r="E3" s="303"/>
      <c r="F3" s="308" t="str">
        <f>DATA!P7</f>
        <v>DATTANI</v>
      </c>
      <c r="G3" s="303"/>
      <c r="H3" s="309" t="str">
        <f>DATA!E7</f>
        <v xml:space="preserve">SANJAYKUMAR </v>
      </c>
      <c r="I3" s="303"/>
      <c r="J3" s="303"/>
      <c r="K3" s="307" t="str">
        <f>DATA!K7</f>
        <v xml:space="preserve">NATVARBHAI </v>
      </c>
      <c r="L3" s="303"/>
      <c r="M3" s="303"/>
      <c r="N3" s="303"/>
      <c r="O3" s="306"/>
      <c r="P3" s="24"/>
      <c r="Q3" s="24"/>
    </row>
    <row r="4" spans="1:17" ht="14.25" x14ac:dyDescent="0.2">
      <c r="A4" s="14"/>
      <c r="B4" s="310" t="s">
        <v>106</v>
      </c>
      <c r="C4" s="294"/>
      <c r="D4" s="294"/>
      <c r="E4" s="294"/>
      <c r="F4" s="311" t="str">
        <f>DATA!P7</f>
        <v>DATTANI</v>
      </c>
      <c r="G4" s="272"/>
      <c r="H4" s="312" t="str">
        <f>DATA!K7</f>
        <v xml:space="preserve">NATVARBHAI </v>
      </c>
      <c r="I4" s="272"/>
      <c r="J4" s="272"/>
      <c r="K4" s="92"/>
      <c r="L4" s="92"/>
      <c r="M4" s="312"/>
      <c r="N4" s="272"/>
      <c r="O4" s="273"/>
      <c r="P4" s="24"/>
      <c r="Q4" s="24"/>
    </row>
    <row r="5" spans="1:17" ht="8.25" customHeight="1" x14ac:dyDescent="0.2">
      <c r="A5" s="379"/>
      <c r="B5" s="386" t="s">
        <v>107</v>
      </c>
      <c r="C5" s="293"/>
      <c r="D5" s="293"/>
      <c r="E5" s="291"/>
      <c r="F5" s="384" t="str">
        <f>DATA!E8</f>
        <v>KADJODARA   PRIMARY SCHOOL</v>
      </c>
      <c r="G5" s="293"/>
      <c r="H5" s="293"/>
      <c r="I5" s="293"/>
      <c r="J5" s="293"/>
      <c r="K5" s="293"/>
      <c r="L5" s="293"/>
      <c r="M5" s="293"/>
      <c r="N5" s="293"/>
      <c r="O5" s="356"/>
      <c r="P5" s="24"/>
      <c r="Q5" s="24"/>
    </row>
    <row r="6" spans="1:17" ht="8.25" customHeight="1" x14ac:dyDescent="0.2">
      <c r="A6" s="380"/>
      <c r="B6" s="362"/>
      <c r="C6" s="377"/>
      <c r="D6" s="377"/>
      <c r="E6" s="387"/>
      <c r="F6" s="286"/>
      <c r="G6" s="294"/>
      <c r="H6" s="294"/>
      <c r="I6" s="294"/>
      <c r="J6" s="294"/>
      <c r="K6" s="294"/>
      <c r="L6" s="294"/>
      <c r="M6" s="294"/>
      <c r="N6" s="294"/>
      <c r="O6" s="385"/>
      <c r="P6" s="24"/>
      <c r="Q6" s="24"/>
    </row>
    <row r="7" spans="1:17" ht="15.75" customHeight="1" x14ac:dyDescent="0.2">
      <c r="A7" s="380"/>
      <c r="B7" s="362"/>
      <c r="C7" s="377"/>
      <c r="D7" s="377"/>
      <c r="E7" s="387"/>
      <c r="F7" s="313" t="s">
        <v>108</v>
      </c>
      <c r="G7" s="275"/>
      <c r="H7" s="275"/>
      <c r="I7" s="276"/>
      <c r="J7" s="314" t="str">
        <f>DATA!G9</f>
        <v>DEHGAM</v>
      </c>
      <c r="K7" s="275"/>
      <c r="L7" s="275"/>
      <c r="M7" s="275"/>
      <c r="N7" s="275"/>
      <c r="O7" s="315"/>
      <c r="P7" s="24"/>
      <c r="Q7" s="24"/>
    </row>
    <row r="8" spans="1:17" ht="16.899999999999999" customHeight="1" x14ac:dyDescent="0.2">
      <c r="A8" s="381"/>
      <c r="B8" s="294"/>
      <c r="C8" s="294"/>
      <c r="D8" s="294"/>
      <c r="E8" s="292"/>
      <c r="F8" s="316" t="s">
        <v>109</v>
      </c>
      <c r="G8" s="275"/>
      <c r="H8" s="275"/>
      <c r="I8" s="276"/>
      <c r="J8" s="317">
        <f>DATA!E10</f>
        <v>0</v>
      </c>
      <c r="K8" s="275"/>
      <c r="L8" s="275"/>
      <c r="M8" s="275"/>
      <c r="N8" s="275"/>
      <c r="O8" s="315"/>
      <c r="P8" s="24"/>
      <c r="Q8" s="24"/>
    </row>
    <row r="9" spans="1:17" ht="16.149999999999999" customHeight="1" x14ac:dyDescent="0.2">
      <c r="A9" s="15"/>
      <c r="B9" s="318" t="s">
        <v>110</v>
      </c>
      <c r="C9" s="276"/>
      <c r="D9" s="319">
        <f>DATA!E12</f>
        <v>9925319951</v>
      </c>
      <c r="E9" s="276"/>
      <c r="F9" s="320" t="s">
        <v>18</v>
      </c>
      <c r="G9" s="275"/>
      <c r="H9" s="275"/>
      <c r="I9" s="275"/>
      <c r="J9" s="276"/>
      <c r="K9" s="321">
        <f>DATA!O12</f>
        <v>30147</v>
      </c>
      <c r="L9" s="275"/>
      <c r="M9" s="275"/>
      <c r="N9" s="275"/>
      <c r="O9" s="315"/>
      <c r="P9" s="24"/>
      <c r="Q9" s="24"/>
    </row>
    <row r="10" spans="1:17" ht="16.149999999999999" customHeight="1" x14ac:dyDescent="0.2">
      <c r="A10" s="15"/>
      <c r="B10" s="318" t="s">
        <v>15</v>
      </c>
      <c r="C10" s="275"/>
      <c r="D10" s="322"/>
      <c r="E10" s="276"/>
      <c r="F10" s="323">
        <f>DATA!E11</f>
        <v>0</v>
      </c>
      <c r="G10" s="275"/>
      <c r="H10" s="275"/>
      <c r="I10" s="275"/>
      <c r="J10" s="275"/>
      <c r="K10" s="275"/>
      <c r="L10" s="275"/>
      <c r="M10" s="275"/>
      <c r="N10" s="275"/>
      <c r="O10" s="315"/>
      <c r="P10" s="24"/>
      <c r="Q10" s="24"/>
    </row>
    <row r="11" spans="1:17" ht="16.899999999999999" customHeight="1" x14ac:dyDescent="0.2">
      <c r="A11" s="15"/>
      <c r="B11" s="318" t="s">
        <v>111</v>
      </c>
      <c r="C11" s="275"/>
      <c r="D11" s="275"/>
      <c r="E11" s="275"/>
      <c r="F11" s="324">
        <f>DATA!E14</f>
        <v>0</v>
      </c>
      <c r="G11" s="275"/>
      <c r="H11" s="275"/>
      <c r="I11" s="275"/>
      <c r="J11" s="275"/>
      <c r="K11" s="275"/>
      <c r="L11" s="275"/>
      <c r="M11" s="275"/>
      <c r="N11" s="275"/>
      <c r="O11" s="315"/>
      <c r="P11" s="24"/>
      <c r="Q11" s="24"/>
    </row>
    <row r="12" spans="1:17" ht="15.75" customHeight="1" x14ac:dyDescent="0.2">
      <c r="A12" s="16"/>
      <c r="B12" s="325" t="s">
        <v>112</v>
      </c>
      <c r="C12" s="326"/>
      <c r="D12" s="326"/>
      <c r="E12" s="326"/>
      <c r="F12" s="327"/>
      <c r="G12" s="326"/>
      <c r="H12" s="326"/>
      <c r="I12" s="25"/>
      <c r="J12" s="26" t="str">
        <f>DATA!K14</f>
        <v>MALE</v>
      </c>
      <c r="K12" s="25"/>
      <c r="L12" s="25"/>
      <c r="M12" s="25"/>
      <c r="N12" s="25"/>
      <c r="O12" s="37"/>
      <c r="P12" s="24"/>
      <c r="Q12" s="24"/>
    </row>
    <row r="13" spans="1:17" ht="15" customHeight="1" x14ac:dyDescent="0.2">
      <c r="A13" s="17" t="s">
        <v>113</v>
      </c>
      <c r="B13" s="328" t="s">
        <v>114</v>
      </c>
      <c r="C13" s="272"/>
      <c r="D13" s="272"/>
      <c r="E13" s="272"/>
      <c r="F13" s="272"/>
      <c r="G13" s="272"/>
      <c r="H13" s="272"/>
      <c r="I13" s="272"/>
      <c r="J13" s="329"/>
      <c r="K13" s="328" t="s">
        <v>115</v>
      </c>
      <c r="L13" s="272"/>
      <c r="M13" s="272"/>
      <c r="N13" s="272"/>
      <c r="O13" s="273"/>
      <c r="P13" s="24"/>
      <c r="Q13" s="24"/>
    </row>
    <row r="14" spans="1:17" ht="15" customHeight="1" x14ac:dyDescent="0.2">
      <c r="A14" s="18">
        <v>1</v>
      </c>
      <c r="B14" s="323" t="s">
        <v>116</v>
      </c>
      <c r="C14" s="275"/>
      <c r="D14" s="275"/>
      <c r="E14" s="275"/>
      <c r="F14" s="275"/>
      <c r="G14" s="275"/>
      <c r="H14" s="275"/>
      <c r="I14" s="275"/>
      <c r="J14" s="276"/>
      <c r="K14" s="330"/>
      <c r="L14" s="276"/>
      <c r="M14" s="331">
        <f>C92</f>
        <v>1096672</v>
      </c>
      <c r="N14" s="275"/>
      <c r="O14" s="315"/>
      <c r="P14" s="24"/>
      <c r="Q14" s="24"/>
    </row>
    <row r="15" spans="1:17" ht="15" customHeight="1" x14ac:dyDescent="0.2">
      <c r="A15" s="19">
        <v>2</v>
      </c>
      <c r="B15" s="332" t="s">
        <v>117</v>
      </c>
      <c r="C15" s="275"/>
      <c r="D15" s="275"/>
      <c r="E15" s="275"/>
      <c r="F15" s="275"/>
      <c r="G15" s="275"/>
      <c r="H15" s="275"/>
      <c r="I15" s="275"/>
      <c r="J15" s="276"/>
      <c r="K15" s="330"/>
      <c r="L15" s="276"/>
      <c r="M15" s="333"/>
      <c r="N15" s="275"/>
      <c r="O15" s="315"/>
      <c r="P15" s="24"/>
      <c r="Q15" s="24"/>
    </row>
    <row r="16" spans="1:17" ht="15" customHeight="1" x14ac:dyDescent="0.2">
      <c r="A16" s="19"/>
      <c r="B16" s="20">
        <v>1</v>
      </c>
      <c r="C16" s="334" t="s">
        <v>241</v>
      </c>
      <c r="D16" s="275"/>
      <c r="E16" s="275"/>
      <c r="F16" s="275"/>
      <c r="G16" s="275"/>
      <c r="H16" s="275"/>
      <c r="I16" s="275"/>
      <c r="J16" s="276"/>
      <c r="K16" s="335">
        <v>75000</v>
      </c>
      <c r="L16" s="276"/>
      <c r="M16" s="333"/>
      <c r="N16" s="275"/>
      <c r="O16" s="315"/>
      <c r="P16" s="24"/>
      <c r="Q16" s="24"/>
    </row>
    <row r="17" spans="1:17" ht="15" customHeight="1" x14ac:dyDescent="0.2">
      <c r="A17" s="19"/>
      <c r="B17" s="20">
        <v>2</v>
      </c>
      <c r="C17" s="336" t="s">
        <v>118</v>
      </c>
      <c r="D17" s="275"/>
      <c r="E17" s="275"/>
      <c r="F17" s="275"/>
      <c r="G17" s="275"/>
      <c r="H17" s="275"/>
      <c r="I17" s="275"/>
      <c r="J17" s="276"/>
      <c r="K17" s="335">
        <f>IF(M14&lt;1500000,0,H92)</f>
        <v>0</v>
      </c>
      <c r="L17" s="276"/>
      <c r="M17" s="333"/>
      <c r="N17" s="275"/>
      <c r="O17" s="315"/>
      <c r="P17" s="24"/>
      <c r="Q17" s="24"/>
    </row>
    <row r="18" spans="1:17" ht="15" customHeight="1" x14ac:dyDescent="0.2">
      <c r="A18" s="19"/>
      <c r="B18" s="20">
        <v>3</v>
      </c>
      <c r="C18" s="336" t="s">
        <v>119</v>
      </c>
      <c r="D18" s="275"/>
      <c r="E18" s="275"/>
      <c r="F18" s="275"/>
      <c r="G18" s="275"/>
      <c r="H18" s="275"/>
      <c r="I18" s="275"/>
      <c r="J18" s="276"/>
      <c r="K18" s="335">
        <v>0</v>
      </c>
      <c r="L18" s="276"/>
      <c r="M18" s="333"/>
      <c r="N18" s="275"/>
      <c r="O18" s="315"/>
      <c r="P18" s="24"/>
      <c r="Q18" s="24"/>
    </row>
    <row r="19" spans="1:17" ht="15" customHeight="1" x14ac:dyDescent="0.2">
      <c r="A19" s="19"/>
      <c r="B19" s="20">
        <v>4</v>
      </c>
      <c r="C19" s="337" t="s">
        <v>120</v>
      </c>
      <c r="D19" s="275"/>
      <c r="E19" s="275"/>
      <c r="F19" s="275"/>
      <c r="G19" s="275"/>
      <c r="H19" s="275"/>
      <c r="I19" s="275"/>
      <c r="J19" s="276"/>
      <c r="K19" s="335">
        <v>0</v>
      </c>
      <c r="L19" s="276"/>
      <c r="M19" s="330"/>
      <c r="N19" s="275"/>
      <c r="O19" s="315"/>
      <c r="P19" s="24"/>
      <c r="Q19" s="24"/>
    </row>
    <row r="20" spans="1:17" ht="15" customHeight="1" x14ac:dyDescent="0.2">
      <c r="A20" s="19">
        <v>3</v>
      </c>
      <c r="B20" s="338" t="s">
        <v>121</v>
      </c>
      <c r="C20" s="275"/>
      <c r="D20" s="275"/>
      <c r="E20" s="275"/>
      <c r="F20" s="275"/>
      <c r="G20" s="275"/>
      <c r="H20" s="275"/>
      <c r="I20" s="275"/>
      <c r="J20" s="276"/>
      <c r="K20" s="335">
        <f>SUM(K16:K19)</f>
        <v>75000</v>
      </c>
      <c r="L20" s="276"/>
      <c r="M20" s="331">
        <f>K16+K17+K18+K19</f>
        <v>75000</v>
      </c>
      <c r="N20" s="275"/>
      <c r="O20" s="315"/>
      <c r="P20" s="24"/>
      <c r="Q20" s="24"/>
    </row>
    <row r="21" spans="1:17" ht="15" customHeight="1" x14ac:dyDescent="0.2">
      <c r="A21" s="19">
        <v>4</v>
      </c>
      <c r="B21" s="338" t="s">
        <v>122</v>
      </c>
      <c r="C21" s="275"/>
      <c r="D21" s="275"/>
      <c r="E21" s="275"/>
      <c r="F21" s="275"/>
      <c r="G21" s="275"/>
      <c r="H21" s="275"/>
      <c r="I21" s="275"/>
      <c r="J21" s="276"/>
      <c r="K21" s="335"/>
      <c r="L21" s="276"/>
      <c r="M21" s="331">
        <f>M14-M20</f>
        <v>1021672</v>
      </c>
      <c r="N21" s="275"/>
      <c r="O21" s="315"/>
      <c r="P21" s="24"/>
      <c r="Q21" s="24"/>
    </row>
    <row r="22" spans="1:17" ht="15" customHeight="1" x14ac:dyDescent="0.2">
      <c r="A22" s="18">
        <v>5</v>
      </c>
      <c r="B22" s="323" t="s">
        <v>123</v>
      </c>
      <c r="C22" s="275"/>
      <c r="D22" s="275"/>
      <c r="E22" s="275"/>
      <c r="F22" s="275"/>
      <c r="G22" s="275"/>
      <c r="H22" s="275"/>
      <c r="I22" s="275"/>
      <c r="J22" s="276"/>
      <c r="K22" s="335"/>
      <c r="L22" s="276"/>
      <c r="M22" s="331"/>
      <c r="N22" s="275"/>
      <c r="O22" s="315"/>
      <c r="P22" s="24"/>
      <c r="Q22" s="24"/>
    </row>
    <row r="23" spans="1:17" ht="15" customHeight="1" x14ac:dyDescent="0.2">
      <c r="A23" s="18"/>
      <c r="B23" s="20">
        <v>1</v>
      </c>
      <c r="C23" s="339" t="str">
        <f>IF(DATA!O23=0,"સી.પી.એફ ફાળો","જી.પી.એફ ફાળો")</f>
        <v>સી.પી.એફ ફાળો</v>
      </c>
      <c r="D23" s="275"/>
      <c r="E23" s="275"/>
      <c r="F23" s="275"/>
      <c r="G23" s="275"/>
      <c r="H23" s="275"/>
      <c r="I23" s="275"/>
      <c r="J23" s="276"/>
      <c r="K23" s="335">
        <v>0</v>
      </c>
      <c r="L23" s="276"/>
      <c r="M23" s="333"/>
      <c r="N23" s="275"/>
      <c r="O23" s="315"/>
      <c r="P23" s="24"/>
      <c r="Q23" s="24"/>
    </row>
    <row r="24" spans="1:17" ht="15" customHeight="1" x14ac:dyDescent="0.2">
      <c r="A24" s="18"/>
      <c r="B24" s="20">
        <v>2</v>
      </c>
      <c r="C24" s="339" t="s">
        <v>124</v>
      </c>
      <c r="D24" s="275"/>
      <c r="E24" s="275"/>
      <c r="F24" s="275"/>
      <c r="G24" s="275"/>
      <c r="H24" s="275"/>
      <c r="I24" s="275"/>
      <c r="J24" s="276"/>
      <c r="K24" s="335">
        <v>0</v>
      </c>
      <c r="L24" s="276"/>
      <c r="M24" s="333"/>
      <c r="N24" s="275"/>
      <c r="O24" s="315"/>
      <c r="P24" s="24"/>
      <c r="Q24" s="24"/>
    </row>
    <row r="25" spans="1:17" ht="15" customHeight="1" x14ac:dyDescent="0.2">
      <c r="A25" s="18"/>
      <c r="B25" s="20">
        <v>3</v>
      </c>
      <c r="C25" s="339" t="s">
        <v>125</v>
      </c>
      <c r="D25" s="275"/>
      <c r="E25" s="275"/>
      <c r="F25" s="275"/>
      <c r="G25" s="275"/>
      <c r="H25" s="275"/>
      <c r="I25" s="275"/>
      <c r="J25" s="276"/>
      <c r="K25" s="335">
        <v>0</v>
      </c>
      <c r="L25" s="276"/>
      <c r="M25" s="333"/>
      <c r="N25" s="275"/>
      <c r="O25" s="315"/>
      <c r="P25" s="24"/>
      <c r="Q25" s="24"/>
    </row>
    <row r="26" spans="1:17" ht="15" customHeight="1" x14ac:dyDescent="0.2">
      <c r="A26" s="18"/>
      <c r="B26" s="20">
        <v>4</v>
      </c>
      <c r="C26" s="339" t="s">
        <v>126</v>
      </c>
      <c r="D26" s="275"/>
      <c r="E26" s="275"/>
      <c r="F26" s="275"/>
      <c r="G26" s="275"/>
      <c r="H26" s="275"/>
      <c r="I26" s="275"/>
      <c r="J26" s="276"/>
      <c r="K26" s="335">
        <v>0</v>
      </c>
      <c r="L26" s="276"/>
      <c r="M26" s="333"/>
      <c r="N26" s="275"/>
      <c r="O26" s="315"/>
      <c r="P26" s="24"/>
      <c r="Q26" s="24"/>
    </row>
    <row r="27" spans="1:17" ht="15" customHeight="1" x14ac:dyDescent="0.2">
      <c r="A27" s="18"/>
      <c r="B27" s="20">
        <v>5</v>
      </c>
      <c r="C27" s="339" t="s">
        <v>127</v>
      </c>
      <c r="D27" s="275"/>
      <c r="E27" s="275"/>
      <c r="F27" s="275"/>
      <c r="G27" s="275"/>
      <c r="H27" s="275"/>
      <c r="I27" s="275"/>
      <c r="J27" s="276"/>
      <c r="K27" s="335">
        <v>0</v>
      </c>
      <c r="L27" s="276"/>
      <c r="M27" s="330"/>
      <c r="N27" s="275"/>
      <c r="O27" s="315"/>
      <c r="P27" s="24"/>
      <c r="Q27" s="24"/>
    </row>
    <row r="28" spans="1:17" ht="15" customHeight="1" x14ac:dyDescent="0.2">
      <c r="A28" s="18"/>
      <c r="B28" s="20">
        <v>6</v>
      </c>
      <c r="C28" s="339" t="s">
        <v>49</v>
      </c>
      <c r="D28" s="275"/>
      <c r="E28" s="275"/>
      <c r="F28" s="275"/>
      <c r="G28" s="275"/>
      <c r="H28" s="275"/>
      <c r="I28" s="275"/>
      <c r="J28" s="276"/>
      <c r="K28" s="335">
        <v>0</v>
      </c>
      <c r="L28" s="276"/>
      <c r="M28" s="333"/>
      <c r="N28" s="275"/>
      <c r="O28" s="315"/>
      <c r="P28" s="24"/>
      <c r="Q28" s="24"/>
    </row>
    <row r="29" spans="1:17" ht="15" customHeight="1" x14ac:dyDescent="0.2">
      <c r="A29" s="18"/>
      <c r="B29" s="20">
        <v>7</v>
      </c>
      <c r="C29" s="339" t="s">
        <v>51</v>
      </c>
      <c r="D29" s="275"/>
      <c r="E29" s="275"/>
      <c r="F29" s="275"/>
      <c r="G29" s="275"/>
      <c r="H29" s="275"/>
      <c r="I29" s="275"/>
      <c r="J29" s="276"/>
      <c r="K29" s="335">
        <v>0</v>
      </c>
      <c r="L29" s="276"/>
      <c r="M29" s="333"/>
      <c r="N29" s="275"/>
      <c r="O29" s="315"/>
      <c r="P29" s="24"/>
      <c r="Q29" s="24"/>
    </row>
    <row r="30" spans="1:17" ht="15" customHeight="1" x14ac:dyDescent="0.2">
      <c r="A30" s="18"/>
      <c r="B30" s="20">
        <v>8</v>
      </c>
      <c r="C30" s="339" t="s">
        <v>128</v>
      </c>
      <c r="D30" s="275"/>
      <c r="E30" s="275"/>
      <c r="F30" s="275"/>
      <c r="G30" s="275"/>
      <c r="H30" s="275"/>
      <c r="I30" s="275"/>
      <c r="J30" s="276"/>
      <c r="K30" s="335">
        <v>0</v>
      </c>
      <c r="L30" s="276"/>
      <c r="M30" s="333"/>
      <c r="N30" s="275"/>
      <c r="O30" s="315"/>
      <c r="P30" s="24"/>
      <c r="Q30" s="24"/>
    </row>
    <row r="31" spans="1:17" ht="15" customHeight="1" x14ac:dyDescent="0.2">
      <c r="A31" s="18"/>
      <c r="B31" s="20">
        <v>9</v>
      </c>
      <c r="C31" s="339" t="s">
        <v>129</v>
      </c>
      <c r="D31" s="275"/>
      <c r="E31" s="275"/>
      <c r="F31" s="275"/>
      <c r="G31" s="275"/>
      <c r="H31" s="275"/>
      <c r="I31" s="275"/>
      <c r="J31" s="276"/>
      <c r="K31" s="335">
        <v>0</v>
      </c>
      <c r="L31" s="276"/>
      <c r="M31" s="333"/>
      <c r="N31" s="275"/>
      <c r="O31" s="315"/>
      <c r="P31" s="24"/>
      <c r="Q31" s="24"/>
    </row>
    <row r="32" spans="1:17" ht="15" customHeight="1" x14ac:dyDescent="0.2">
      <c r="A32" s="18"/>
      <c r="B32" s="20">
        <v>10</v>
      </c>
      <c r="C32" s="339" t="s">
        <v>130</v>
      </c>
      <c r="D32" s="275"/>
      <c r="E32" s="275"/>
      <c r="F32" s="275"/>
      <c r="G32" s="275"/>
      <c r="H32" s="275"/>
      <c r="I32" s="275"/>
      <c r="J32" s="276"/>
      <c r="K32" s="335">
        <v>0</v>
      </c>
      <c r="L32" s="276"/>
      <c r="M32" s="333"/>
      <c r="N32" s="275"/>
      <c r="O32" s="315"/>
      <c r="P32" s="24"/>
      <c r="Q32" s="24"/>
    </row>
    <row r="33" spans="1:17" ht="15" customHeight="1" x14ac:dyDescent="0.2">
      <c r="A33" s="18"/>
      <c r="B33" s="20">
        <v>11</v>
      </c>
      <c r="C33" s="339" t="s">
        <v>131</v>
      </c>
      <c r="D33" s="275"/>
      <c r="E33" s="275"/>
      <c r="F33" s="275"/>
      <c r="G33" s="275"/>
      <c r="H33" s="275"/>
      <c r="I33" s="275"/>
      <c r="J33" s="276"/>
      <c r="K33" s="335">
        <v>0</v>
      </c>
      <c r="L33" s="276"/>
      <c r="M33" s="333"/>
      <c r="N33" s="275"/>
      <c r="O33" s="315"/>
      <c r="P33" s="24"/>
      <c r="Q33" s="24"/>
    </row>
    <row r="34" spans="1:17" ht="15" customHeight="1" x14ac:dyDescent="0.2">
      <c r="A34" s="18"/>
      <c r="B34" s="20">
        <v>12</v>
      </c>
      <c r="C34" s="339" t="s">
        <v>132</v>
      </c>
      <c r="D34" s="275"/>
      <c r="E34" s="275"/>
      <c r="F34" s="275"/>
      <c r="G34" s="275"/>
      <c r="H34" s="275"/>
      <c r="I34" s="275"/>
      <c r="J34" s="276"/>
      <c r="K34" s="335">
        <v>0</v>
      </c>
      <c r="L34" s="276"/>
      <c r="M34" s="333"/>
      <c r="N34" s="275"/>
      <c r="O34" s="315"/>
      <c r="P34" s="24"/>
      <c r="Q34" s="24"/>
    </row>
    <row r="35" spans="1:17" ht="15" customHeight="1" x14ac:dyDescent="0.2">
      <c r="A35" s="18"/>
      <c r="B35" s="20">
        <v>13</v>
      </c>
      <c r="C35" s="339" t="s">
        <v>133</v>
      </c>
      <c r="D35" s="275"/>
      <c r="E35" s="275"/>
      <c r="F35" s="275"/>
      <c r="G35" s="275"/>
      <c r="H35" s="275"/>
      <c r="I35" s="275"/>
      <c r="J35" s="276"/>
      <c r="K35" s="335">
        <v>0</v>
      </c>
      <c r="L35" s="276"/>
      <c r="M35" s="331"/>
      <c r="N35" s="275"/>
      <c r="O35" s="315"/>
      <c r="P35" s="24"/>
      <c r="Q35" s="24"/>
    </row>
    <row r="36" spans="1:17" ht="15" customHeight="1" x14ac:dyDescent="0.2">
      <c r="A36" s="18"/>
      <c r="B36" s="338" t="s">
        <v>134</v>
      </c>
      <c r="C36" s="275"/>
      <c r="D36" s="275"/>
      <c r="E36" s="275"/>
      <c r="F36" s="275"/>
      <c r="G36" s="275"/>
      <c r="H36" s="275"/>
      <c r="I36" s="275"/>
      <c r="J36" s="276"/>
      <c r="K36" s="335">
        <f>SUM(K23:K35)</f>
        <v>0</v>
      </c>
      <c r="L36" s="276"/>
      <c r="M36" s="331">
        <f>IF(K36&lt;150000,K36,150000)</f>
        <v>0</v>
      </c>
      <c r="N36" s="275"/>
      <c r="O36" s="315"/>
      <c r="P36" s="24"/>
      <c r="Q36" s="24"/>
    </row>
    <row r="37" spans="1:17" ht="15" customHeight="1" x14ac:dyDescent="0.2">
      <c r="A37" s="18">
        <v>6</v>
      </c>
      <c r="B37" s="20">
        <v>1</v>
      </c>
      <c r="C37" s="97" t="s">
        <v>135</v>
      </c>
      <c r="D37" s="87"/>
      <c r="E37" s="87"/>
      <c r="F37" s="87"/>
      <c r="G37" s="87"/>
      <c r="H37" s="87"/>
      <c r="I37" s="87"/>
      <c r="J37" s="93"/>
      <c r="K37" s="335">
        <v>0</v>
      </c>
      <c r="L37" s="276"/>
      <c r="M37" s="333"/>
      <c r="N37" s="275"/>
      <c r="O37" s="315"/>
      <c r="P37" s="24"/>
      <c r="Q37" s="24"/>
    </row>
    <row r="38" spans="1:17" ht="15" customHeight="1" x14ac:dyDescent="0.2">
      <c r="A38" s="18"/>
      <c r="B38" s="20">
        <v>2</v>
      </c>
      <c r="C38" s="97" t="s">
        <v>136</v>
      </c>
      <c r="D38" s="87"/>
      <c r="E38" s="87"/>
      <c r="F38" s="87"/>
      <c r="G38" s="87"/>
      <c r="H38" s="87"/>
      <c r="I38" s="87"/>
      <c r="J38" s="93"/>
      <c r="K38" s="335">
        <v>0</v>
      </c>
      <c r="L38" s="276"/>
      <c r="M38" s="333"/>
      <c r="N38" s="275"/>
      <c r="O38" s="315"/>
      <c r="P38" s="24"/>
      <c r="Q38" s="24"/>
    </row>
    <row r="39" spans="1:17" ht="15" customHeight="1" x14ac:dyDescent="0.2">
      <c r="A39" s="18"/>
      <c r="B39" s="20">
        <v>3</v>
      </c>
      <c r="C39" s="97" t="s">
        <v>137</v>
      </c>
      <c r="D39" s="87"/>
      <c r="E39" s="87"/>
      <c r="F39" s="87"/>
      <c r="G39" s="87"/>
      <c r="H39" s="87"/>
      <c r="I39" s="87"/>
      <c r="J39" s="93"/>
      <c r="K39" s="335">
        <v>0</v>
      </c>
      <c r="L39" s="276"/>
      <c r="M39" s="333"/>
      <c r="N39" s="275"/>
      <c r="O39" s="315"/>
      <c r="P39" s="24"/>
      <c r="Q39" s="24"/>
    </row>
    <row r="40" spans="1:17" ht="15" customHeight="1" x14ac:dyDescent="0.2">
      <c r="A40" s="18"/>
      <c r="B40" s="20">
        <v>4</v>
      </c>
      <c r="C40" s="97" t="s">
        <v>138</v>
      </c>
      <c r="D40" s="89"/>
      <c r="E40" s="89"/>
      <c r="F40" s="89"/>
      <c r="G40" s="89"/>
      <c r="H40" s="89"/>
      <c r="I40" s="89"/>
      <c r="J40" s="94"/>
      <c r="K40" s="335">
        <v>0</v>
      </c>
      <c r="L40" s="276"/>
      <c r="M40" s="333"/>
      <c r="N40" s="275"/>
      <c r="O40" s="315"/>
      <c r="P40" s="24"/>
      <c r="Q40" s="24"/>
    </row>
    <row r="41" spans="1:17" ht="15" customHeight="1" x14ac:dyDescent="0.2">
      <c r="A41" s="18"/>
      <c r="B41" s="20">
        <v>5</v>
      </c>
      <c r="C41" s="97" t="s">
        <v>139</v>
      </c>
      <c r="D41" s="87"/>
      <c r="E41" s="87"/>
      <c r="F41" s="87"/>
      <c r="G41" s="87"/>
      <c r="H41" s="87"/>
      <c r="I41" s="87"/>
      <c r="J41" s="93"/>
      <c r="K41" s="335">
        <v>0</v>
      </c>
      <c r="L41" s="276"/>
      <c r="M41" s="333"/>
      <c r="N41" s="275"/>
      <c r="O41" s="315"/>
      <c r="P41" s="24"/>
      <c r="Q41" s="24"/>
    </row>
    <row r="42" spans="1:17" ht="15" customHeight="1" x14ac:dyDescent="0.2">
      <c r="A42" s="18"/>
      <c r="B42" s="20">
        <v>6</v>
      </c>
      <c r="C42" s="87" t="s">
        <v>67</v>
      </c>
      <c r="D42" s="90"/>
      <c r="E42" s="90"/>
      <c r="F42" s="90"/>
      <c r="G42" s="80"/>
      <c r="H42" s="80"/>
      <c r="I42" s="80"/>
      <c r="J42" s="85"/>
      <c r="K42" s="335">
        <v>0</v>
      </c>
      <c r="L42" s="276"/>
      <c r="M42" s="28"/>
      <c r="N42" s="58"/>
      <c r="O42" s="60"/>
      <c r="P42" s="24"/>
      <c r="Q42" s="24"/>
    </row>
    <row r="43" spans="1:17" ht="15" customHeight="1" x14ac:dyDescent="0.2">
      <c r="A43" s="18"/>
      <c r="B43" s="338" t="s">
        <v>140</v>
      </c>
      <c r="C43" s="275"/>
      <c r="D43" s="275"/>
      <c r="E43" s="275"/>
      <c r="F43" s="275"/>
      <c r="G43" s="275"/>
      <c r="H43" s="275"/>
      <c r="I43" s="275"/>
      <c r="J43" s="276"/>
      <c r="K43" s="335">
        <f>SUM(K37:K42)</f>
        <v>0</v>
      </c>
      <c r="L43" s="276"/>
      <c r="M43" s="331">
        <f>K43</f>
        <v>0</v>
      </c>
      <c r="N43" s="275"/>
      <c r="O43" s="315"/>
      <c r="P43" s="24"/>
      <c r="Q43" s="24"/>
    </row>
    <row r="44" spans="1:17" ht="15" customHeight="1" x14ac:dyDescent="0.2">
      <c r="A44" s="18">
        <v>7</v>
      </c>
      <c r="B44" s="323" t="s">
        <v>141</v>
      </c>
      <c r="C44" s="275"/>
      <c r="D44" s="275"/>
      <c r="E44" s="275"/>
      <c r="F44" s="275"/>
      <c r="G44" s="275"/>
      <c r="H44" s="275"/>
      <c r="I44" s="275"/>
      <c r="J44" s="276"/>
      <c r="K44" s="335">
        <f>ROUND(M21-(M36+K43),-1)</f>
        <v>1021670</v>
      </c>
      <c r="L44" s="276"/>
      <c r="M44" s="331">
        <f>IF(K44&lt;400000,0,K44-400000)</f>
        <v>621670</v>
      </c>
      <c r="N44" s="275"/>
      <c r="O44" s="315"/>
      <c r="P44" s="24"/>
      <c r="Q44" s="24"/>
    </row>
    <row r="45" spans="1:17" ht="15" customHeight="1" x14ac:dyDescent="0.2">
      <c r="A45" s="18">
        <v>8</v>
      </c>
      <c r="B45" s="323" t="s">
        <v>142</v>
      </c>
      <c r="C45" s="275"/>
      <c r="D45" s="275"/>
      <c r="E45" s="275"/>
      <c r="F45" s="275"/>
      <c r="G45" s="275"/>
      <c r="H45" s="275"/>
      <c r="I45" s="275"/>
      <c r="J45" s="276"/>
      <c r="K45" s="335"/>
      <c r="L45" s="276"/>
      <c r="M45" s="333"/>
      <c r="N45" s="275"/>
      <c r="O45" s="315"/>
      <c r="P45" s="24"/>
      <c r="Q45" s="24"/>
    </row>
    <row r="46" spans="1:17" ht="15" customHeight="1" x14ac:dyDescent="0.2">
      <c r="A46" s="18"/>
      <c r="B46" s="20">
        <v>1</v>
      </c>
      <c r="C46" s="340" t="s">
        <v>243</v>
      </c>
      <c r="D46" s="275"/>
      <c r="E46" s="275"/>
      <c r="F46" s="275"/>
      <c r="G46" s="275"/>
      <c r="H46" s="275"/>
      <c r="I46" s="275"/>
      <c r="J46" s="276"/>
      <c r="K46" s="335">
        <f>IF(M44&lt;1,0,IF(K44&gt;800000,20000,ROUND((M44)*5%,0)))</f>
        <v>20000</v>
      </c>
      <c r="L46" s="276"/>
      <c r="M46" s="333"/>
      <c r="N46" s="275"/>
      <c r="O46" s="315"/>
      <c r="P46" s="24"/>
      <c r="Q46" s="24"/>
    </row>
    <row r="47" spans="1:17" ht="15" customHeight="1" x14ac:dyDescent="0.2">
      <c r="A47" s="18"/>
      <c r="B47" s="20">
        <v>2</v>
      </c>
      <c r="C47" s="340" t="s">
        <v>244</v>
      </c>
      <c r="D47" s="275"/>
      <c r="E47" s="275"/>
      <c r="F47" s="275"/>
      <c r="G47" s="275"/>
      <c r="H47" s="275"/>
      <c r="I47" s="275"/>
      <c r="J47" s="276"/>
      <c r="K47" s="335">
        <f>IF(K44&lt;800001,0,IF(K44&gt;1200000,40000,ROUND((K44-800001)*10%,0)))</f>
        <v>22167</v>
      </c>
      <c r="L47" s="276"/>
      <c r="M47" s="333"/>
      <c r="N47" s="275"/>
      <c r="O47" s="315"/>
      <c r="P47" s="24"/>
      <c r="Q47" s="24"/>
    </row>
    <row r="48" spans="1:17" ht="15" customHeight="1" x14ac:dyDescent="0.2">
      <c r="A48" s="19"/>
      <c r="B48" s="20">
        <v>3</v>
      </c>
      <c r="C48" s="340" t="s">
        <v>245</v>
      </c>
      <c r="D48" s="275"/>
      <c r="E48" s="275"/>
      <c r="F48" s="275"/>
      <c r="G48" s="275"/>
      <c r="H48" s="275"/>
      <c r="I48" s="275"/>
      <c r="J48" s="276"/>
      <c r="K48" s="335">
        <f>IF(K44&lt;1200001,0,IF(K44&gt;1600000,60000,ROUND((K44-1200001)*15%,0)))</f>
        <v>0</v>
      </c>
      <c r="L48" s="276"/>
      <c r="M48" s="333"/>
      <c r="N48" s="275"/>
      <c r="O48" s="315"/>
      <c r="P48" s="24"/>
      <c r="Q48" s="24"/>
    </row>
    <row r="49" spans="1:17" ht="15" customHeight="1" x14ac:dyDescent="0.2">
      <c r="A49" s="19"/>
      <c r="B49" s="20">
        <v>4</v>
      </c>
      <c r="C49" s="341" t="s">
        <v>246</v>
      </c>
      <c r="D49" s="275"/>
      <c r="E49" s="275"/>
      <c r="F49" s="275"/>
      <c r="G49" s="275"/>
      <c r="H49" s="275"/>
      <c r="I49" s="275"/>
      <c r="J49" s="276"/>
      <c r="K49" s="335">
        <f>IF(K44&lt;1600001,0,IF(K44&gt;2000000,80000,ROUND((K44-1600001)*20%,0)))</f>
        <v>0</v>
      </c>
      <c r="L49" s="276"/>
      <c r="M49" s="28"/>
      <c r="N49" s="58"/>
      <c r="O49" s="60"/>
      <c r="P49" s="24"/>
      <c r="Q49" s="24"/>
    </row>
    <row r="50" spans="1:17" ht="15" customHeight="1" x14ac:dyDescent="0.2">
      <c r="A50" s="19"/>
      <c r="B50" s="20">
        <v>5</v>
      </c>
      <c r="C50" s="341" t="s">
        <v>247</v>
      </c>
      <c r="D50" s="275"/>
      <c r="E50" s="275"/>
      <c r="F50" s="275"/>
      <c r="G50" s="275"/>
      <c r="H50" s="275"/>
      <c r="I50" s="275"/>
      <c r="J50" s="276"/>
      <c r="K50" s="335">
        <f>IF(K45&lt;2000001,0,IF(K45&gt;2400000,80000,ROUND((K45-2000001)*25%,0)))</f>
        <v>0</v>
      </c>
      <c r="L50" s="276"/>
      <c r="M50" s="28"/>
      <c r="N50" s="58"/>
      <c r="O50" s="60"/>
      <c r="P50" s="24"/>
      <c r="Q50" s="24"/>
    </row>
    <row r="51" spans="1:17" ht="15" customHeight="1" x14ac:dyDescent="0.2">
      <c r="A51" s="19"/>
      <c r="B51" s="20">
        <v>6</v>
      </c>
      <c r="C51" s="341" t="s">
        <v>248</v>
      </c>
      <c r="D51" s="342"/>
      <c r="E51" s="342"/>
      <c r="F51" s="342"/>
      <c r="G51" s="342"/>
      <c r="H51" s="342"/>
      <c r="I51" s="342"/>
      <c r="J51" s="343"/>
      <c r="K51" s="335">
        <f>IF(K44&lt;2400000,0,IF(K44&gt;2400000,ROUND((K44-2400000)*30%,0)))</f>
        <v>0</v>
      </c>
      <c r="L51" s="344"/>
      <c r="M51" s="28"/>
      <c r="N51" s="58"/>
      <c r="O51" s="60"/>
      <c r="P51" s="24"/>
      <c r="Q51" s="24"/>
    </row>
    <row r="52" spans="1:17" ht="15" customHeight="1" x14ac:dyDescent="0.2">
      <c r="A52" s="18"/>
      <c r="B52" s="338" t="s">
        <v>250</v>
      </c>
      <c r="C52" s="345"/>
      <c r="D52" s="345"/>
      <c r="E52" s="345"/>
      <c r="F52" s="345"/>
      <c r="G52" s="345"/>
      <c r="H52" s="345"/>
      <c r="I52" s="345"/>
      <c r="J52" s="346"/>
      <c r="K52" s="335">
        <f>SUM(K46:K51)</f>
        <v>42167</v>
      </c>
      <c r="L52" s="344"/>
      <c r="M52" s="331">
        <f t="shared" ref="M52:M54" si="0">K52</f>
        <v>42167</v>
      </c>
      <c r="N52" s="347"/>
      <c r="O52" s="348"/>
      <c r="P52" s="24"/>
      <c r="Q52" s="24"/>
    </row>
    <row r="53" spans="1:17" ht="15" customHeight="1" x14ac:dyDescent="0.2">
      <c r="A53" s="18">
        <v>9</v>
      </c>
      <c r="B53" s="349" t="s">
        <v>249</v>
      </c>
      <c r="C53" s="275"/>
      <c r="D53" s="275"/>
      <c r="E53" s="275"/>
      <c r="F53" s="275"/>
      <c r="G53" s="275"/>
      <c r="H53" s="275"/>
      <c r="I53" s="275"/>
      <c r="J53" s="276"/>
      <c r="K53" s="335">
        <f>IF(K44&lt;1200001,K46+K47,0)</f>
        <v>42167</v>
      </c>
      <c r="L53" s="276"/>
      <c r="M53" s="331">
        <f t="shared" si="0"/>
        <v>42167</v>
      </c>
      <c r="N53" s="275"/>
      <c r="O53" s="315"/>
      <c r="P53" s="24"/>
      <c r="Q53" s="24"/>
    </row>
    <row r="54" spans="1:17" ht="15" customHeight="1" x14ac:dyDescent="0.2">
      <c r="A54" s="18">
        <v>10</v>
      </c>
      <c r="B54" s="323" t="s">
        <v>145</v>
      </c>
      <c r="C54" s="275"/>
      <c r="D54" s="275"/>
      <c r="E54" s="275"/>
      <c r="F54" s="275"/>
      <c r="G54" s="275"/>
      <c r="H54" s="275"/>
      <c r="I54" s="275"/>
      <c r="J54" s="276"/>
      <c r="K54" s="335">
        <f>M52-M53</f>
        <v>0</v>
      </c>
      <c r="L54" s="276"/>
      <c r="M54" s="331">
        <f t="shared" si="0"/>
        <v>0</v>
      </c>
      <c r="N54" s="275"/>
      <c r="O54" s="315"/>
      <c r="P54" s="24"/>
      <c r="Q54" s="24"/>
    </row>
    <row r="55" spans="1:17" ht="15" customHeight="1" x14ac:dyDescent="0.2">
      <c r="A55" s="18">
        <v>11</v>
      </c>
      <c r="B55" s="332" t="s">
        <v>146</v>
      </c>
      <c r="C55" s="275"/>
      <c r="D55" s="275"/>
      <c r="E55" s="275"/>
      <c r="F55" s="275"/>
      <c r="G55" s="275"/>
      <c r="H55" s="275"/>
      <c r="I55" s="275"/>
      <c r="J55" s="276"/>
      <c r="K55" s="335">
        <f>ROUND((M54*0.04),0)</f>
        <v>0</v>
      </c>
      <c r="L55" s="276"/>
      <c r="M55" s="331"/>
      <c r="N55" s="275"/>
      <c r="O55" s="315"/>
      <c r="P55" s="24"/>
      <c r="Q55" s="24"/>
    </row>
    <row r="56" spans="1:17" ht="15" customHeight="1" x14ac:dyDescent="0.2">
      <c r="A56" s="18">
        <v>12</v>
      </c>
      <c r="B56" s="338" t="s">
        <v>147</v>
      </c>
      <c r="C56" s="275"/>
      <c r="D56" s="275"/>
      <c r="E56" s="275"/>
      <c r="F56" s="275"/>
      <c r="G56" s="275"/>
      <c r="H56" s="275"/>
      <c r="I56" s="275"/>
      <c r="J56" s="276"/>
      <c r="K56" s="335">
        <f>SUM(K54:K55)</f>
        <v>0</v>
      </c>
      <c r="L56" s="276"/>
      <c r="M56" s="331">
        <f>ROUNDUP(K56,0-1)</f>
        <v>0</v>
      </c>
      <c r="N56" s="275"/>
      <c r="O56" s="315"/>
      <c r="P56" s="24"/>
      <c r="Q56" s="24"/>
    </row>
    <row r="57" spans="1:17" ht="15" customHeight="1" x14ac:dyDescent="0.2">
      <c r="A57" s="18">
        <v>13</v>
      </c>
      <c r="B57" s="350" t="s">
        <v>148</v>
      </c>
      <c r="C57" s="275"/>
      <c r="D57" s="275"/>
      <c r="E57" s="275"/>
      <c r="F57" s="275"/>
      <c r="G57" s="275"/>
      <c r="H57" s="275"/>
      <c r="I57" s="275"/>
      <c r="J57" s="276"/>
      <c r="K57" s="335">
        <f>DATA!O35</f>
        <v>0</v>
      </c>
      <c r="L57" s="276"/>
      <c r="M57" s="331">
        <f>K57</f>
        <v>0</v>
      </c>
      <c r="N57" s="275"/>
      <c r="O57" s="315"/>
      <c r="P57" s="24"/>
      <c r="Q57" s="24"/>
    </row>
    <row r="58" spans="1:17" ht="15" customHeight="1" x14ac:dyDescent="0.2">
      <c r="A58" s="18">
        <v>14</v>
      </c>
      <c r="B58" s="351" t="s">
        <v>149</v>
      </c>
      <c r="C58" s="275"/>
      <c r="D58" s="275"/>
      <c r="E58" s="275"/>
      <c r="F58" s="352"/>
      <c r="G58" s="275"/>
      <c r="H58" s="275"/>
      <c r="I58" s="275"/>
      <c r="J58" s="95"/>
      <c r="K58" s="335"/>
      <c r="L58" s="276"/>
      <c r="M58" s="331">
        <f>M56-M57</f>
        <v>0</v>
      </c>
      <c r="N58" s="275"/>
      <c r="O58" s="315"/>
      <c r="P58" s="24"/>
      <c r="Q58" s="24"/>
    </row>
    <row r="59" spans="1:17" ht="15" customHeight="1" x14ac:dyDescent="0.2">
      <c r="A59" s="18">
        <v>15</v>
      </c>
      <c r="B59" s="350" t="str">
        <f>"પગારમાંથીકાપેલT.D.S " &amp;[1]DATA!B27&amp;" થી "&amp;[1]DATA!B34&amp;" સુધી"</f>
        <v>પગારમાંથીકાપેલT.D.S એપ્રિલ - 2025 થી નવે. - 2025 સુધી</v>
      </c>
      <c r="C59" s="275"/>
      <c r="D59" s="275"/>
      <c r="E59" s="275"/>
      <c r="F59" s="275"/>
      <c r="G59" s="275"/>
      <c r="H59" s="275"/>
      <c r="I59" s="275"/>
      <c r="J59" s="276"/>
      <c r="K59" s="335">
        <f>N71+N72+N73+N74+N75+N76+N77+N78+N79</f>
        <v>0</v>
      </c>
      <c r="L59" s="276"/>
      <c r="M59" s="333"/>
      <c r="N59" s="275"/>
      <c r="O59" s="315"/>
      <c r="P59" s="24"/>
      <c r="Q59" s="24"/>
    </row>
    <row r="60" spans="1:17" ht="15" customHeight="1" x14ac:dyDescent="0.2">
      <c r="A60" s="18">
        <v>16</v>
      </c>
      <c r="B60" s="350" t="str">
        <f>"પગારમાંથીકાપેલ ટેક્ષ "&amp;[1]DATA!B35</f>
        <v>પગારમાંથીકાપેલ ટેક્ષ ડિસે. - 2025</v>
      </c>
      <c r="C60" s="275"/>
      <c r="D60" s="275"/>
      <c r="E60" s="275"/>
      <c r="F60" s="275"/>
      <c r="G60" s="275"/>
      <c r="H60" s="275"/>
      <c r="I60" s="275"/>
      <c r="J60" s="276"/>
      <c r="K60" s="335">
        <f>IF(M58&lt;K59,0,ROUND((M58-K59)/3,-2))</f>
        <v>0</v>
      </c>
      <c r="L60" s="276"/>
      <c r="M60" s="333"/>
      <c r="N60" s="275"/>
      <c r="O60" s="315"/>
      <c r="P60" s="24"/>
      <c r="Q60" s="24"/>
    </row>
    <row r="61" spans="1:17" ht="15" customHeight="1" x14ac:dyDescent="0.2">
      <c r="A61" s="18">
        <v>17</v>
      </c>
      <c r="B61" s="350" t="str">
        <f>"પગારમાંથીકાપેલ ટેક્ષ "&amp;[1]DATA!B36</f>
        <v>પગારમાંથીકાપેલ ટેક્ષ જાન્યુ. - 2026</v>
      </c>
      <c r="C61" s="275"/>
      <c r="D61" s="275"/>
      <c r="E61" s="275"/>
      <c r="F61" s="275"/>
      <c r="G61" s="275"/>
      <c r="H61" s="275"/>
      <c r="I61" s="275"/>
      <c r="J61" s="276"/>
      <c r="K61" s="335">
        <f>IF(M58&lt;K59,0,ROUND((M58-K59)/3,-2))</f>
        <v>0</v>
      </c>
      <c r="L61" s="276"/>
      <c r="M61" s="333"/>
      <c r="N61" s="275"/>
      <c r="O61" s="315"/>
      <c r="P61" s="24"/>
      <c r="Q61" s="24"/>
    </row>
    <row r="62" spans="1:17" ht="15" customHeight="1" x14ac:dyDescent="0.2">
      <c r="A62" s="18">
        <v>18</v>
      </c>
      <c r="B62" s="350" t="str">
        <f>"પગારમાંથીકાપેલ ટેક્ષ "&amp;[1]DATA!B37</f>
        <v>પગારમાંથીકાપેલ ટેક્ષ ફેબ્રુ. -2026</v>
      </c>
      <c r="C62" s="275"/>
      <c r="D62" s="275"/>
      <c r="E62" s="275"/>
      <c r="F62" s="275"/>
      <c r="G62" s="275"/>
      <c r="H62" s="275"/>
      <c r="I62" s="275"/>
      <c r="J62" s="276"/>
      <c r="K62" s="335">
        <f>IF(M58&lt;K59,0,(M58-(K59+K60+K61)))</f>
        <v>0</v>
      </c>
      <c r="L62" s="276"/>
      <c r="M62" s="333"/>
      <c r="N62" s="275"/>
      <c r="O62" s="315"/>
      <c r="P62" s="24"/>
      <c r="Q62" s="24"/>
    </row>
    <row r="63" spans="1:17" ht="15" customHeight="1" x14ac:dyDescent="0.2">
      <c r="A63" s="91"/>
      <c r="B63" s="353" t="s">
        <v>154</v>
      </c>
      <c r="C63" s="293"/>
      <c r="D63" s="293"/>
      <c r="E63" s="293"/>
      <c r="F63" s="293"/>
      <c r="G63" s="293"/>
      <c r="H63" s="293"/>
      <c r="I63" s="293"/>
      <c r="J63" s="291"/>
      <c r="K63" s="354">
        <f>SUM(K59:K62)</f>
        <v>0</v>
      </c>
      <c r="L63" s="291"/>
      <c r="M63" s="355">
        <f>K63</f>
        <v>0</v>
      </c>
      <c r="N63" s="293"/>
      <c r="O63" s="356"/>
      <c r="P63" s="24"/>
      <c r="Q63" s="24"/>
    </row>
    <row r="64" spans="1:17" ht="15" customHeight="1" x14ac:dyDescent="0.2">
      <c r="A64" s="18">
        <v>19</v>
      </c>
      <c r="B64" s="357" t="s">
        <v>155</v>
      </c>
      <c r="C64" s="275"/>
      <c r="D64" s="275"/>
      <c r="E64" s="275"/>
      <c r="F64" s="275"/>
      <c r="G64" s="275"/>
      <c r="H64" s="275"/>
      <c r="I64" s="275"/>
      <c r="J64" s="276"/>
      <c r="K64" s="358">
        <f>IF(M63&lt;M58,0,M63-M58)</f>
        <v>0</v>
      </c>
      <c r="L64" s="276"/>
      <c r="M64" s="335"/>
      <c r="N64" s="275"/>
      <c r="O64" s="315"/>
      <c r="P64" s="24"/>
      <c r="Q64" s="24"/>
    </row>
    <row r="65" spans="1:17" ht="12.75" customHeight="1" x14ac:dyDescent="0.2">
      <c r="A65" s="359" t="s">
        <v>156</v>
      </c>
      <c r="B65" s="360"/>
      <c r="C65" s="360"/>
      <c r="D65" s="360"/>
      <c r="E65" s="360"/>
      <c r="F65" s="360"/>
      <c r="G65" s="360"/>
      <c r="H65" s="360"/>
      <c r="I65" s="360"/>
      <c r="J65" s="360"/>
      <c r="K65" s="360"/>
      <c r="L65" s="360"/>
      <c r="M65" s="360"/>
      <c r="N65" s="360"/>
      <c r="O65" s="360"/>
      <c r="P65" s="24"/>
      <c r="Q65" s="24"/>
    </row>
    <row r="66" spans="1:17" ht="14.25" customHeight="1" x14ac:dyDescent="0.2">
      <c r="A66" s="361" t="s">
        <v>157</v>
      </c>
      <c r="B66" s="362"/>
      <c r="C66" s="363" t="str">
        <f>DATA!E6</f>
        <v xml:space="preserve">KADJODARA </v>
      </c>
      <c r="D66" s="362"/>
      <c r="E66" s="362"/>
      <c r="F66" s="39"/>
      <c r="G66" s="39"/>
      <c r="H66" s="39"/>
      <c r="I66" s="39"/>
      <c r="J66" s="39"/>
      <c r="K66" s="361"/>
      <c r="L66" s="362"/>
      <c r="M66" s="362"/>
      <c r="N66" s="362"/>
      <c r="O66" s="362"/>
      <c r="P66" s="24"/>
      <c r="Q66" s="24"/>
    </row>
    <row r="67" spans="1:17" ht="14.25" customHeight="1" x14ac:dyDescent="0.2">
      <c r="A67" s="361" t="s">
        <v>158</v>
      </c>
      <c r="B67" s="362"/>
      <c r="C67" s="364">
        <f ca="1">TODAY()</f>
        <v>46000</v>
      </c>
      <c r="D67" s="362"/>
      <c r="E67" s="40" t="s">
        <v>159</v>
      </c>
      <c r="F67" s="363" t="s">
        <v>160</v>
      </c>
      <c r="G67" s="362"/>
      <c r="H67" s="362"/>
      <c r="I67" s="362"/>
      <c r="J67" s="39"/>
      <c r="K67" s="361" t="s">
        <v>161</v>
      </c>
      <c r="L67" s="362"/>
      <c r="M67" s="362"/>
      <c r="N67" s="362"/>
      <c r="O67" s="362"/>
      <c r="P67" s="24"/>
      <c r="Q67" s="24"/>
    </row>
    <row r="68" spans="1:17" ht="22.5" customHeight="1" x14ac:dyDescent="0.2">
      <c r="A68" s="365" t="s">
        <v>162</v>
      </c>
      <c r="B68" s="362"/>
      <c r="C68" s="362"/>
      <c r="D68" s="362"/>
      <c r="E68" s="362"/>
      <c r="F68" s="362"/>
      <c r="G68" s="362"/>
      <c r="H68" s="362"/>
      <c r="I68" s="362"/>
      <c r="J68" s="362"/>
      <c r="K68" s="362"/>
      <c r="L68" s="362"/>
      <c r="M68" s="362"/>
      <c r="N68" s="362"/>
      <c r="O68" s="362"/>
      <c r="P68" s="24"/>
      <c r="Q68" s="24"/>
    </row>
    <row r="69" spans="1:17" ht="20.25" customHeight="1" x14ac:dyDescent="0.2">
      <c r="A69" s="383" t="s">
        <v>163</v>
      </c>
      <c r="B69" s="291"/>
      <c r="C69" s="382" t="s">
        <v>164</v>
      </c>
      <c r="D69" s="366" t="s">
        <v>165</v>
      </c>
      <c r="E69" s="275"/>
      <c r="F69" s="275"/>
      <c r="G69" s="275"/>
      <c r="H69" s="275"/>
      <c r="I69" s="275"/>
      <c r="J69" s="275"/>
      <c r="K69" s="275"/>
      <c r="L69" s="275"/>
      <c r="M69" s="275"/>
      <c r="N69" s="275"/>
      <c r="O69" s="276"/>
      <c r="P69" s="102"/>
      <c r="Q69" s="102"/>
    </row>
    <row r="70" spans="1:17" ht="44.25" customHeight="1" x14ac:dyDescent="0.2">
      <c r="A70" s="286"/>
      <c r="B70" s="292"/>
      <c r="C70" s="283"/>
      <c r="D70" s="98" t="s">
        <v>166</v>
      </c>
      <c r="E70" s="99" t="s">
        <v>167</v>
      </c>
      <c r="F70" s="367" t="s">
        <v>168</v>
      </c>
      <c r="G70" s="276"/>
      <c r="H70" s="367" t="s">
        <v>74</v>
      </c>
      <c r="I70" s="276"/>
      <c r="J70" s="367" t="s">
        <v>169</v>
      </c>
      <c r="K70" s="276"/>
      <c r="L70" s="367" t="s">
        <v>170</v>
      </c>
      <c r="M70" s="276"/>
      <c r="N70" s="367" t="s">
        <v>171</v>
      </c>
      <c r="O70" s="276"/>
      <c r="P70" s="102"/>
      <c r="Q70" s="102"/>
    </row>
    <row r="71" spans="1:17" ht="21" customHeight="1" x14ac:dyDescent="0.2">
      <c r="A71" s="332" t="str">
        <f>DATA!B26</f>
        <v>માર્ચ - 2025</v>
      </c>
      <c r="B71" s="276"/>
      <c r="C71" s="43">
        <f>PAGAR!M5</f>
        <v>87296</v>
      </c>
      <c r="D71" s="44">
        <v>0</v>
      </c>
      <c r="E71" s="45">
        <f>PAGAR!N5</f>
        <v>0</v>
      </c>
      <c r="F71" s="330">
        <f>PAGAR!Q5</f>
        <v>8201</v>
      </c>
      <c r="G71" s="276"/>
      <c r="H71" s="330">
        <f>PAGAR!P5</f>
        <v>200</v>
      </c>
      <c r="I71" s="276"/>
      <c r="J71" s="330">
        <f>DATA!E26</f>
        <v>800</v>
      </c>
      <c r="K71" s="276"/>
      <c r="L71" s="330">
        <f>PAGAR!S5</f>
        <v>6575</v>
      </c>
      <c r="M71" s="276"/>
      <c r="N71" s="330">
        <f>PAGAR!R5</f>
        <v>0</v>
      </c>
      <c r="O71" s="276"/>
      <c r="P71" s="24"/>
      <c r="Q71" s="24"/>
    </row>
    <row r="72" spans="1:17" ht="21" customHeight="1" x14ac:dyDescent="0.2">
      <c r="A72" s="332" t="str">
        <f>DATA!B27</f>
        <v>એપ્રિલ - 2025</v>
      </c>
      <c r="B72" s="276"/>
      <c r="C72" s="43">
        <f>PAGAR!M6</f>
        <v>88368</v>
      </c>
      <c r="D72" s="44">
        <v>0</v>
      </c>
      <c r="E72" s="45">
        <f>PAGAR!N6</f>
        <v>0</v>
      </c>
      <c r="F72" s="330">
        <f>PAGAR!Q6</f>
        <v>8308</v>
      </c>
      <c r="G72" s="276"/>
      <c r="H72" s="330">
        <f>PAGAR!P6</f>
        <v>200</v>
      </c>
      <c r="I72" s="276"/>
      <c r="J72" s="330">
        <f>DATA!E27</f>
        <v>800</v>
      </c>
      <c r="K72" s="276"/>
      <c r="L72" s="330">
        <f>PAGAR!S6</f>
        <v>6575</v>
      </c>
      <c r="M72" s="276"/>
      <c r="N72" s="330">
        <f>PAGAR!R6</f>
        <v>0</v>
      </c>
      <c r="O72" s="276"/>
      <c r="P72" s="24"/>
      <c r="Q72" s="24"/>
    </row>
    <row r="73" spans="1:17" ht="21" customHeight="1" x14ac:dyDescent="0.2">
      <c r="A73" s="332" t="str">
        <f>DATA!B28</f>
        <v>મે - 2025</v>
      </c>
      <c r="B73" s="276"/>
      <c r="C73" s="43">
        <f>PAGAR!M7</f>
        <v>88368</v>
      </c>
      <c r="D73" s="44">
        <v>0</v>
      </c>
      <c r="E73" s="45">
        <f>PAGAR!N7</f>
        <v>0</v>
      </c>
      <c r="F73" s="330">
        <f>PAGAR!Q7</f>
        <v>8308</v>
      </c>
      <c r="G73" s="276"/>
      <c r="H73" s="330">
        <f>PAGAR!P7</f>
        <v>200</v>
      </c>
      <c r="I73" s="276"/>
      <c r="J73" s="330">
        <f>DATA!E28</f>
        <v>800</v>
      </c>
      <c r="K73" s="276"/>
      <c r="L73" s="330">
        <f>PAGAR!S7</f>
        <v>6575</v>
      </c>
      <c r="M73" s="276"/>
      <c r="N73" s="330">
        <f>PAGAR!R7</f>
        <v>0</v>
      </c>
      <c r="O73" s="276"/>
      <c r="P73" s="24"/>
      <c r="Q73" s="24"/>
    </row>
    <row r="74" spans="1:17" ht="21" customHeight="1" x14ac:dyDescent="0.2">
      <c r="A74" s="332" t="str">
        <f>DATA!B29</f>
        <v>જૂન - 2025</v>
      </c>
      <c r="B74" s="276"/>
      <c r="C74" s="43">
        <f>PAGAR!M8</f>
        <v>88368</v>
      </c>
      <c r="D74" s="44">
        <v>0</v>
      </c>
      <c r="E74" s="45">
        <f>PAGAR!N8</f>
        <v>0</v>
      </c>
      <c r="F74" s="330">
        <f>PAGAR!Q8</f>
        <v>8308</v>
      </c>
      <c r="G74" s="276"/>
      <c r="H74" s="330">
        <f>PAGAR!P8</f>
        <v>200</v>
      </c>
      <c r="I74" s="276"/>
      <c r="J74" s="330">
        <f>DATA!E29</f>
        <v>800</v>
      </c>
      <c r="K74" s="276"/>
      <c r="L74" s="330">
        <f>PAGAR!S8</f>
        <v>6575</v>
      </c>
      <c r="M74" s="276"/>
      <c r="N74" s="330">
        <f>PAGAR!R8</f>
        <v>0</v>
      </c>
      <c r="O74" s="276"/>
      <c r="P74" s="24"/>
      <c r="Q74" s="24"/>
    </row>
    <row r="75" spans="1:17" ht="21" customHeight="1" x14ac:dyDescent="0.2">
      <c r="A75" s="332" t="str">
        <f>DATA!B30</f>
        <v>જુલાઈ - 2025</v>
      </c>
      <c r="B75" s="276"/>
      <c r="C75" s="43">
        <f>PAGAR!M9</f>
        <v>90976</v>
      </c>
      <c r="D75" s="44">
        <v>0</v>
      </c>
      <c r="E75" s="45">
        <f>PAGAR!N9</f>
        <v>0</v>
      </c>
      <c r="F75" s="330">
        <f>PAGAR!Q9</f>
        <v>8556</v>
      </c>
      <c r="G75" s="276"/>
      <c r="H75" s="330">
        <f>PAGAR!P9</f>
        <v>200</v>
      </c>
      <c r="I75" s="276"/>
      <c r="J75" s="330">
        <f>DATA!E30</f>
        <v>800</v>
      </c>
      <c r="K75" s="276"/>
      <c r="L75" s="330">
        <f>PAGAR!S9</f>
        <v>6575</v>
      </c>
      <c r="M75" s="276"/>
      <c r="N75" s="330">
        <f>PAGAR!R9</f>
        <v>0</v>
      </c>
      <c r="O75" s="276"/>
      <c r="P75" s="24"/>
      <c r="Q75" s="24"/>
    </row>
    <row r="76" spans="1:17" ht="21" customHeight="1" x14ac:dyDescent="0.2">
      <c r="A76" s="332" t="str">
        <f>DATA!B31</f>
        <v>ઓગષ્ટ - 2025</v>
      </c>
      <c r="B76" s="276"/>
      <c r="C76" s="43">
        <f>PAGAR!M10</f>
        <v>90976</v>
      </c>
      <c r="D76" s="44">
        <v>0</v>
      </c>
      <c r="E76" s="45">
        <f>PAGAR!N10</f>
        <v>0</v>
      </c>
      <c r="F76" s="330">
        <f>PAGAR!Q10</f>
        <v>8556</v>
      </c>
      <c r="G76" s="276"/>
      <c r="H76" s="330">
        <f>PAGAR!P10</f>
        <v>200</v>
      </c>
      <c r="I76" s="276"/>
      <c r="J76" s="330">
        <f>DATA!E31</f>
        <v>800</v>
      </c>
      <c r="K76" s="276"/>
      <c r="L76" s="330">
        <f>PAGAR!S10</f>
        <v>6575</v>
      </c>
      <c r="M76" s="276"/>
      <c r="N76" s="330">
        <f>PAGAR!R10</f>
        <v>0</v>
      </c>
      <c r="O76" s="276"/>
      <c r="P76" s="24"/>
      <c r="Q76" s="24"/>
    </row>
    <row r="77" spans="1:17" ht="21" customHeight="1" x14ac:dyDescent="0.2">
      <c r="A77" s="332" t="str">
        <f>DATA!B32</f>
        <v>સપ્ટે. - 2025</v>
      </c>
      <c r="B77" s="276"/>
      <c r="C77" s="43">
        <f>PAGAR!M11</f>
        <v>90976</v>
      </c>
      <c r="D77" s="44">
        <v>0</v>
      </c>
      <c r="E77" s="45">
        <f>PAGAR!N11</f>
        <v>0</v>
      </c>
      <c r="F77" s="330">
        <f>PAGAR!Q11</f>
        <v>8556</v>
      </c>
      <c r="G77" s="276"/>
      <c r="H77" s="330">
        <f>PAGAR!P11</f>
        <v>200</v>
      </c>
      <c r="I77" s="276"/>
      <c r="J77" s="330">
        <f>DATA!E32</f>
        <v>800</v>
      </c>
      <c r="K77" s="276"/>
      <c r="L77" s="330">
        <f>PAGAR!S11</f>
        <v>6575</v>
      </c>
      <c r="M77" s="276"/>
      <c r="N77" s="330">
        <f>PAGAR!R11</f>
        <v>0</v>
      </c>
      <c r="O77" s="276"/>
      <c r="P77" s="24"/>
      <c r="Q77" s="24"/>
    </row>
    <row r="78" spans="1:17" ht="21" customHeight="1" x14ac:dyDescent="0.2">
      <c r="A78" s="332" t="str">
        <f>DATA!B33</f>
        <v>ઓકટો.- 2025</v>
      </c>
      <c r="B78" s="276"/>
      <c r="C78" s="43">
        <f>PAGAR!M12</f>
        <v>92632</v>
      </c>
      <c r="D78" s="44">
        <v>0</v>
      </c>
      <c r="E78" s="45">
        <f>PAGAR!N12</f>
        <v>0</v>
      </c>
      <c r="F78" s="330">
        <f>PAGAR!Q12</f>
        <v>8722</v>
      </c>
      <c r="G78" s="276"/>
      <c r="H78" s="330">
        <f>PAGAR!P12</f>
        <v>200</v>
      </c>
      <c r="I78" s="276"/>
      <c r="J78" s="330">
        <f>DATA!E33</f>
        <v>800</v>
      </c>
      <c r="K78" s="276"/>
      <c r="L78" s="330">
        <f>PAGAR!S12</f>
        <v>6575</v>
      </c>
      <c r="M78" s="276"/>
      <c r="N78" s="330">
        <f>PAGAR!R12</f>
        <v>0</v>
      </c>
      <c r="O78" s="276"/>
      <c r="P78" s="24"/>
      <c r="Q78" s="24"/>
    </row>
    <row r="79" spans="1:17" ht="21" customHeight="1" x14ac:dyDescent="0.2">
      <c r="A79" s="332" t="str">
        <f>DATA!B34</f>
        <v>નવે. - 2025</v>
      </c>
      <c r="B79" s="276"/>
      <c r="C79" s="43">
        <f>PAGAR!M13</f>
        <v>92632</v>
      </c>
      <c r="D79" s="44">
        <v>0</v>
      </c>
      <c r="E79" s="45">
        <f>PAGAR!N13</f>
        <v>0</v>
      </c>
      <c r="F79" s="330">
        <f>PAGAR!Q13</f>
        <v>8722</v>
      </c>
      <c r="G79" s="276"/>
      <c r="H79" s="330">
        <f>PAGAR!P13</f>
        <v>200</v>
      </c>
      <c r="I79" s="276"/>
      <c r="J79" s="330">
        <f>DATA!E34</f>
        <v>800</v>
      </c>
      <c r="K79" s="276"/>
      <c r="L79" s="330">
        <f>PAGAR!S13</f>
        <v>6575</v>
      </c>
      <c r="M79" s="276"/>
      <c r="N79" s="330">
        <f>PAGAR!R13</f>
        <v>0</v>
      </c>
      <c r="O79" s="276"/>
      <c r="P79" s="24"/>
      <c r="Q79" s="24"/>
    </row>
    <row r="80" spans="1:17" ht="21" customHeight="1" x14ac:dyDescent="0.2">
      <c r="A80" s="332" t="str">
        <f>DATA!B35</f>
        <v>ડિસે. - 2025</v>
      </c>
      <c r="B80" s="276"/>
      <c r="C80" s="43">
        <f>PAGAR!M14</f>
        <v>92632</v>
      </c>
      <c r="D80" s="44">
        <v>0</v>
      </c>
      <c r="E80" s="45">
        <f>PAGAR!N14</f>
        <v>0</v>
      </c>
      <c r="F80" s="330">
        <f>PAGAR!Q14</f>
        <v>8722</v>
      </c>
      <c r="G80" s="276"/>
      <c r="H80" s="330">
        <f>PAGAR!P14</f>
        <v>200</v>
      </c>
      <c r="I80" s="276"/>
      <c r="J80" s="330">
        <f>DATA!E35</f>
        <v>800</v>
      </c>
      <c r="K80" s="276"/>
      <c r="L80" s="330">
        <f>PAGAR!S14</f>
        <v>6575</v>
      </c>
      <c r="M80" s="276"/>
      <c r="N80" s="330">
        <f>PAGAR!R14</f>
        <v>0</v>
      </c>
      <c r="O80" s="276"/>
      <c r="P80" s="24"/>
      <c r="Q80" s="24"/>
    </row>
    <row r="81" spans="1:17" ht="21" customHeight="1" x14ac:dyDescent="0.2">
      <c r="A81" s="332" t="str">
        <f>DATA!B36</f>
        <v>જાન્યુ. - 2026</v>
      </c>
      <c r="B81" s="276"/>
      <c r="C81" s="43">
        <f>PAGAR!M15</f>
        <v>92632</v>
      </c>
      <c r="D81" s="44">
        <v>0</v>
      </c>
      <c r="E81" s="45">
        <f>PAGAR!N15</f>
        <v>0</v>
      </c>
      <c r="F81" s="330">
        <f>PAGAR!Q15</f>
        <v>8722</v>
      </c>
      <c r="G81" s="276"/>
      <c r="H81" s="330">
        <f>PAGAR!P15</f>
        <v>200</v>
      </c>
      <c r="I81" s="276"/>
      <c r="J81" s="330">
        <f>DATA!E36</f>
        <v>800</v>
      </c>
      <c r="K81" s="276"/>
      <c r="L81" s="330">
        <f>PAGAR!S15</f>
        <v>6575</v>
      </c>
      <c r="M81" s="276"/>
      <c r="N81" s="330">
        <f>PAGAR!R15</f>
        <v>0</v>
      </c>
      <c r="O81" s="276"/>
      <c r="P81" s="24"/>
      <c r="Q81" s="24"/>
    </row>
    <row r="82" spans="1:17" ht="21" customHeight="1" x14ac:dyDescent="0.2">
      <c r="A82" s="332" t="str">
        <f>DATA!B37</f>
        <v>ફેબ્રુ. -2026</v>
      </c>
      <c r="B82" s="276"/>
      <c r="C82" s="43">
        <f>PAGAR!M16</f>
        <v>92632</v>
      </c>
      <c r="D82" s="44">
        <v>0</v>
      </c>
      <c r="E82" s="45">
        <f>PAGAR!N16</f>
        <v>0</v>
      </c>
      <c r="F82" s="330">
        <f>PAGAR!Q16</f>
        <v>8722</v>
      </c>
      <c r="G82" s="276"/>
      <c r="H82" s="330">
        <f>PAGAR!P16</f>
        <v>200</v>
      </c>
      <c r="I82" s="276"/>
      <c r="J82" s="330">
        <f>DATA!E37</f>
        <v>800</v>
      </c>
      <c r="K82" s="276"/>
      <c r="L82" s="330">
        <f>PAGAR!S16</f>
        <v>6575</v>
      </c>
      <c r="M82" s="276"/>
      <c r="N82" s="330">
        <f>PAGAR!R16</f>
        <v>0</v>
      </c>
      <c r="O82" s="276"/>
      <c r="P82" s="24"/>
      <c r="Q82" s="24"/>
    </row>
    <row r="83" spans="1:17" ht="24.75" customHeight="1" x14ac:dyDescent="0.2">
      <c r="A83" s="368" t="str">
        <f>DATA!B16</f>
        <v>મોં.પુરવણી 1/01/2025 થી 31/03/2025</v>
      </c>
      <c r="B83" s="276"/>
      <c r="C83" s="47">
        <f>DATA!E16</f>
        <v>3216</v>
      </c>
      <c r="D83" s="48"/>
      <c r="E83" s="49"/>
      <c r="F83" s="330"/>
      <c r="G83" s="276"/>
      <c r="H83" s="330"/>
      <c r="I83" s="276"/>
      <c r="J83" s="330"/>
      <c r="K83" s="276"/>
      <c r="L83" s="330"/>
      <c r="M83" s="276"/>
      <c r="N83" s="330"/>
      <c r="O83" s="276"/>
      <c r="P83" s="24"/>
      <c r="Q83" s="24"/>
    </row>
    <row r="84" spans="1:17" ht="24.75" customHeight="1" x14ac:dyDescent="0.2">
      <c r="A84" s="368" t="str">
        <f>DATA!B17</f>
        <v>મોં.પુરવણી 1/07/2025 થી 30/09/2025</v>
      </c>
      <c r="B84" s="276"/>
      <c r="C84" s="47">
        <f>DATA!E17</f>
        <v>4968</v>
      </c>
      <c r="D84" s="48"/>
      <c r="E84" s="49"/>
      <c r="F84" s="330"/>
      <c r="G84" s="276"/>
      <c r="H84" s="330"/>
      <c r="I84" s="276"/>
      <c r="J84" s="330"/>
      <c r="K84" s="276"/>
      <c r="L84" s="330"/>
      <c r="M84" s="276"/>
      <c r="N84" s="330"/>
      <c r="O84" s="276"/>
      <c r="P84" s="24"/>
      <c r="Q84" s="24"/>
    </row>
    <row r="85" spans="1:17" ht="17.25" customHeight="1" x14ac:dyDescent="0.2">
      <c r="A85" s="368" t="str">
        <f>DATA!B18</f>
        <v>ઉચ્ચતર પુરવાણી ૧</v>
      </c>
      <c r="B85" s="276"/>
      <c r="C85" s="47">
        <f>DATA!E18</f>
        <v>0</v>
      </c>
      <c r="D85" s="48"/>
      <c r="E85" s="49"/>
      <c r="F85" s="330"/>
      <c r="G85" s="276"/>
      <c r="H85" s="330"/>
      <c r="I85" s="276"/>
      <c r="J85" s="330"/>
      <c r="K85" s="276"/>
      <c r="L85" s="330"/>
      <c r="M85" s="276"/>
      <c r="N85" s="330"/>
      <c r="O85" s="276"/>
      <c r="P85" s="24"/>
      <c r="Q85" s="24"/>
    </row>
    <row r="86" spans="1:17" ht="17.25" customHeight="1" x14ac:dyDescent="0.2">
      <c r="A86" s="368" t="str">
        <f>DATA!B19</f>
        <v>ઉચ્ચતર પુરવાણી ૨</v>
      </c>
      <c r="B86" s="276"/>
      <c r="C86" s="47">
        <f>DATA!E19</f>
        <v>0</v>
      </c>
      <c r="D86" s="48"/>
      <c r="E86" s="49"/>
      <c r="F86" s="330"/>
      <c r="G86" s="276"/>
      <c r="H86" s="330"/>
      <c r="I86" s="276"/>
      <c r="J86" s="330"/>
      <c r="K86" s="276"/>
      <c r="L86" s="330"/>
      <c r="M86" s="276"/>
      <c r="N86" s="330"/>
      <c r="O86" s="276"/>
      <c r="P86" s="24"/>
      <c r="Q86" s="24"/>
    </row>
    <row r="87" spans="1:17" ht="17.25" customHeight="1" x14ac:dyDescent="0.2">
      <c r="A87" s="368" t="str">
        <f>DATA!B20</f>
        <v xml:space="preserve">પગાર તફાવત </v>
      </c>
      <c r="B87" s="276"/>
      <c r="C87" s="47">
        <f>DATA!E20</f>
        <v>0</v>
      </c>
      <c r="D87" s="48"/>
      <c r="E87" s="49"/>
      <c r="F87" s="330"/>
      <c r="G87" s="276"/>
      <c r="H87" s="330"/>
      <c r="I87" s="276"/>
      <c r="J87" s="330"/>
      <c r="K87" s="276"/>
      <c r="L87" s="330"/>
      <c r="M87" s="276"/>
      <c r="N87" s="330"/>
      <c r="O87" s="276"/>
      <c r="P87" s="24"/>
      <c r="Q87" s="24"/>
    </row>
    <row r="88" spans="1:17" ht="17.25" customHeight="1" x14ac:dyDescent="0.2">
      <c r="A88" s="368" t="str">
        <f>DATA!B21</f>
        <v>LTC બીલ</v>
      </c>
      <c r="B88" s="276"/>
      <c r="C88" s="47">
        <f>DATA!E21</f>
        <v>0</v>
      </c>
      <c r="D88" s="48"/>
      <c r="E88" s="49"/>
      <c r="F88" s="27"/>
      <c r="G88" s="50"/>
      <c r="H88" s="27"/>
      <c r="I88" s="50"/>
      <c r="J88" s="27"/>
      <c r="K88" s="50"/>
      <c r="L88" s="27"/>
      <c r="M88" s="50"/>
      <c r="N88" s="27"/>
      <c r="O88" s="50"/>
      <c r="P88" s="24"/>
      <c r="Q88" s="24"/>
    </row>
    <row r="89" spans="1:17" ht="17.25" customHeight="1" x14ac:dyDescent="0.2">
      <c r="A89" s="368" t="str">
        <f>DATA!B22</f>
        <v>અન્ય પુરવણી બીલ</v>
      </c>
      <c r="B89" s="276"/>
      <c r="C89" s="47">
        <f>DATA!E22</f>
        <v>0</v>
      </c>
      <c r="D89" s="48"/>
      <c r="E89" s="49"/>
      <c r="F89" s="27"/>
      <c r="G89" s="50"/>
      <c r="H89" s="27"/>
      <c r="I89" s="50"/>
      <c r="J89" s="27"/>
      <c r="K89" s="50"/>
      <c r="L89" s="27"/>
      <c r="M89" s="50"/>
      <c r="N89" s="27"/>
      <c r="O89" s="50"/>
      <c r="P89" s="24"/>
      <c r="Q89" s="24"/>
    </row>
    <row r="90" spans="1:17" ht="17.25" customHeight="1" x14ac:dyDescent="0.2">
      <c r="A90" s="368" t="str">
        <f>DATA!B23</f>
        <v>.</v>
      </c>
      <c r="B90" s="276"/>
      <c r="C90" s="47">
        <f>DATA!E23</f>
        <v>0</v>
      </c>
      <c r="D90" s="48"/>
      <c r="E90" s="49"/>
      <c r="F90" s="27"/>
      <c r="G90" s="50"/>
      <c r="H90" s="27"/>
      <c r="I90" s="50"/>
      <c r="J90" s="27"/>
      <c r="K90" s="50"/>
      <c r="L90" s="27"/>
      <c r="M90" s="50"/>
      <c r="N90" s="27"/>
      <c r="O90" s="50"/>
      <c r="P90" s="24"/>
      <c r="Q90" s="24"/>
    </row>
    <row r="91" spans="1:17" ht="17.25" customHeight="1" x14ac:dyDescent="0.2">
      <c r="A91" s="368" t="str">
        <f>DATA!B24</f>
        <v>.</v>
      </c>
      <c r="B91" s="276"/>
      <c r="C91" s="47">
        <f>DATA!E24</f>
        <v>0</v>
      </c>
      <c r="D91" s="48"/>
      <c r="E91" s="49"/>
      <c r="F91" s="330"/>
      <c r="G91" s="276"/>
      <c r="H91" s="330"/>
      <c r="I91" s="276"/>
      <c r="J91" s="330"/>
      <c r="K91" s="276"/>
      <c r="L91" s="330"/>
      <c r="M91" s="276"/>
      <c r="N91" s="330"/>
      <c r="O91" s="276"/>
      <c r="P91" s="24"/>
      <c r="Q91" s="24"/>
    </row>
    <row r="92" spans="1:17" ht="21.75" customHeight="1" x14ac:dyDescent="0.2">
      <c r="A92" s="316" t="s">
        <v>172</v>
      </c>
      <c r="B92" s="276"/>
      <c r="C92" s="52">
        <f>SUM(C71:C91)</f>
        <v>1096672</v>
      </c>
      <c r="D92" s="53">
        <f t="shared" ref="D92:F92" si="1">SUM(D71:D87)</f>
        <v>0</v>
      </c>
      <c r="E92" s="52">
        <f t="shared" si="1"/>
        <v>0</v>
      </c>
      <c r="F92" s="369">
        <f t="shared" si="1"/>
        <v>102403</v>
      </c>
      <c r="G92" s="276"/>
      <c r="H92" s="319">
        <f>SUM(H71:H87)</f>
        <v>2400</v>
      </c>
      <c r="I92" s="276"/>
      <c r="J92" s="319">
        <f>SUM(J71:J87)</f>
        <v>9600</v>
      </c>
      <c r="K92" s="276"/>
      <c r="L92" s="319">
        <f>SUM(L71:L87)</f>
        <v>78900</v>
      </c>
      <c r="M92" s="276"/>
      <c r="N92" s="319">
        <f>SUM(N71:N87)</f>
        <v>0</v>
      </c>
      <c r="O92" s="276"/>
      <c r="P92" s="24"/>
      <c r="Q92" s="61"/>
    </row>
    <row r="93" spans="1:17" ht="21.75" customHeight="1" x14ac:dyDescent="0.2">
      <c r="A93" s="313" t="str">
        <f>"(B) ઇન્કમટેક્ષ કલમ 88 I હેઠળ નાણાકીય વર્ષ "&amp;DATA!E5&amp;"-"&amp;DATA!F5&amp;" દરમ્યાન કરેલા કર રાહત રોકાણોની વિગત"</f>
        <v>(B) ઇન્કમટેક્ષ કલમ 88 I હેઠળ નાણાકીય વર્ષ 2025-2026 દરમ્યાન કરેલા કર રાહત રોકાણોની વિગત</v>
      </c>
      <c r="B93" s="275"/>
      <c r="C93" s="275"/>
      <c r="D93" s="275"/>
      <c r="E93" s="275"/>
      <c r="F93" s="275"/>
      <c r="G93" s="275"/>
      <c r="H93" s="275"/>
      <c r="I93" s="275"/>
      <c r="J93" s="275"/>
      <c r="K93" s="275"/>
      <c r="L93" s="275"/>
      <c r="M93" s="275"/>
      <c r="N93" s="275"/>
      <c r="O93" s="276"/>
      <c r="P93" s="24"/>
      <c r="Q93" s="24"/>
    </row>
    <row r="94" spans="1:17" ht="17.25" customHeight="1" x14ac:dyDescent="0.2">
      <c r="A94" s="369" t="s">
        <v>173</v>
      </c>
      <c r="B94" s="276"/>
      <c r="C94" s="369" t="s">
        <v>174</v>
      </c>
      <c r="D94" s="276"/>
      <c r="E94" s="55" t="s">
        <v>175</v>
      </c>
      <c r="F94" s="369" t="s">
        <v>176</v>
      </c>
      <c r="G94" s="276"/>
      <c r="H94" s="369" t="s">
        <v>177</v>
      </c>
      <c r="I94" s="275"/>
      <c r="J94" s="276"/>
      <c r="K94" s="369" t="s">
        <v>178</v>
      </c>
      <c r="L94" s="275"/>
      <c r="M94" s="275"/>
      <c r="N94" s="275"/>
      <c r="O94" s="276"/>
      <c r="P94" s="24"/>
      <c r="Q94" s="24"/>
    </row>
    <row r="95" spans="1:17" ht="17.25" customHeight="1" x14ac:dyDescent="0.2">
      <c r="A95" s="313">
        <v>1</v>
      </c>
      <c r="B95" s="276"/>
      <c r="C95" s="370" t="s">
        <v>34</v>
      </c>
      <c r="D95" s="276"/>
      <c r="E95" s="100" t="str">
        <f>DATA!E5&amp;"-"&amp;DATA!F5</f>
        <v>2025-2026</v>
      </c>
      <c r="F95" s="313">
        <v>0</v>
      </c>
      <c r="G95" s="276"/>
      <c r="H95" s="313"/>
      <c r="I95" s="275"/>
      <c r="J95" s="276"/>
      <c r="K95" s="313"/>
      <c r="L95" s="275"/>
      <c r="M95" s="275"/>
      <c r="N95" s="275"/>
      <c r="O95" s="276"/>
      <c r="P95" s="24"/>
      <c r="Q95" s="24"/>
    </row>
    <row r="96" spans="1:17" ht="17.25" customHeight="1" x14ac:dyDescent="0.2">
      <c r="A96" s="313">
        <v>2</v>
      </c>
      <c r="B96" s="276"/>
      <c r="C96" s="370" t="s">
        <v>39</v>
      </c>
      <c r="D96" s="276"/>
      <c r="E96" s="101" t="str">
        <f t="shared" ref="E96:E107" si="2">E95</f>
        <v>2025-2026</v>
      </c>
      <c r="F96" s="313">
        <v>0</v>
      </c>
      <c r="G96" s="276"/>
      <c r="H96" s="313"/>
      <c r="I96" s="275"/>
      <c r="J96" s="276"/>
      <c r="K96" s="313"/>
      <c r="L96" s="275"/>
      <c r="M96" s="275"/>
      <c r="N96" s="275"/>
      <c r="O96" s="276"/>
      <c r="P96" s="24"/>
      <c r="Q96" s="24"/>
    </row>
    <row r="97" spans="1:17" ht="17.25" customHeight="1" x14ac:dyDescent="0.2">
      <c r="A97" s="313">
        <v>3</v>
      </c>
      <c r="B97" s="276"/>
      <c r="C97" s="370" t="s">
        <v>41</v>
      </c>
      <c r="D97" s="276"/>
      <c r="E97" s="101" t="str">
        <f t="shared" si="2"/>
        <v>2025-2026</v>
      </c>
      <c r="F97" s="313">
        <v>0</v>
      </c>
      <c r="G97" s="276"/>
      <c r="H97" s="313"/>
      <c r="I97" s="275"/>
      <c r="J97" s="276"/>
      <c r="K97" s="313"/>
      <c r="L97" s="275"/>
      <c r="M97" s="275"/>
      <c r="N97" s="275"/>
      <c r="O97" s="276"/>
      <c r="P97" s="24"/>
      <c r="Q97" s="24"/>
    </row>
    <row r="98" spans="1:17" ht="17.25" customHeight="1" x14ac:dyDescent="0.2">
      <c r="A98" s="313">
        <v>4</v>
      </c>
      <c r="B98" s="276"/>
      <c r="C98" s="370" t="s">
        <v>49</v>
      </c>
      <c r="D98" s="276"/>
      <c r="E98" s="101" t="str">
        <f t="shared" si="2"/>
        <v>2025-2026</v>
      </c>
      <c r="F98" s="313">
        <v>0</v>
      </c>
      <c r="G98" s="276"/>
      <c r="H98" s="313"/>
      <c r="I98" s="275"/>
      <c r="J98" s="276"/>
      <c r="K98" s="313"/>
      <c r="L98" s="275"/>
      <c r="M98" s="275"/>
      <c r="N98" s="275"/>
      <c r="O98" s="276"/>
      <c r="P98" s="24"/>
      <c r="Q98" s="24"/>
    </row>
    <row r="99" spans="1:17" ht="17.25" customHeight="1" x14ac:dyDescent="0.2">
      <c r="A99" s="313">
        <v>5</v>
      </c>
      <c r="B99" s="276"/>
      <c r="C99" s="370" t="s">
        <v>51</v>
      </c>
      <c r="D99" s="276"/>
      <c r="E99" s="101" t="str">
        <f t="shared" si="2"/>
        <v>2025-2026</v>
      </c>
      <c r="F99" s="313">
        <v>0</v>
      </c>
      <c r="G99" s="276"/>
      <c r="H99" s="313"/>
      <c r="I99" s="275"/>
      <c r="J99" s="276"/>
      <c r="K99" s="313"/>
      <c r="L99" s="275"/>
      <c r="M99" s="275"/>
      <c r="N99" s="275"/>
      <c r="O99" s="276"/>
      <c r="P99" s="24"/>
      <c r="Q99" s="24"/>
    </row>
    <row r="100" spans="1:17" ht="17.25" customHeight="1" x14ac:dyDescent="0.2">
      <c r="A100" s="313">
        <v>6</v>
      </c>
      <c r="B100" s="276"/>
      <c r="C100" s="370" t="s">
        <v>54</v>
      </c>
      <c r="D100" s="276"/>
      <c r="E100" s="101" t="str">
        <f t="shared" si="2"/>
        <v>2025-2026</v>
      </c>
      <c r="F100" s="313">
        <v>0</v>
      </c>
      <c r="G100" s="276"/>
      <c r="H100" s="313"/>
      <c r="I100" s="275"/>
      <c r="J100" s="276"/>
      <c r="K100" s="313"/>
      <c r="L100" s="275"/>
      <c r="M100" s="275"/>
      <c r="N100" s="275"/>
      <c r="O100" s="276"/>
      <c r="P100" s="24"/>
      <c r="Q100" s="24"/>
    </row>
    <row r="101" spans="1:17" ht="17.25" customHeight="1" x14ac:dyDescent="0.2">
      <c r="A101" s="313">
        <v>7</v>
      </c>
      <c r="B101" s="276"/>
      <c r="C101" s="370" t="s">
        <v>56</v>
      </c>
      <c r="D101" s="276"/>
      <c r="E101" s="101" t="str">
        <f t="shared" si="2"/>
        <v>2025-2026</v>
      </c>
      <c r="F101" s="313">
        <v>0</v>
      </c>
      <c r="G101" s="276"/>
      <c r="H101" s="313"/>
      <c r="I101" s="275"/>
      <c r="J101" s="276"/>
      <c r="K101" s="313"/>
      <c r="L101" s="275"/>
      <c r="M101" s="275"/>
      <c r="N101" s="275"/>
      <c r="O101" s="276"/>
      <c r="P101" s="24"/>
      <c r="Q101" s="24"/>
    </row>
    <row r="102" spans="1:17" ht="17.25" customHeight="1" x14ac:dyDescent="0.2">
      <c r="A102" s="313">
        <v>8</v>
      </c>
      <c r="B102" s="276"/>
      <c r="C102" s="370" t="s">
        <v>58</v>
      </c>
      <c r="D102" s="276"/>
      <c r="E102" s="101" t="str">
        <f t="shared" si="2"/>
        <v>2025-2026</v>
      </c>
      <c r="F102" s="313">
        <v>0</v>
      </c>
      <c r="G102" s="276"/>
      <c r="H102" s="313"/>
      <c r="I102" s="275"/>
      <c r="J102" s="276"/>
      <c r="K102" s="313"/>
      <c r="L102" s="275"/>
      <c r="M102" s="275"/>
      <c r="N102" s="275"/>
      <c r="O102" s="276"/>
      <c r="P102" s="24"/>
      <c r="Q102" s="24"/>
    </row>
    <row r="103" spans="1:17" ht="17.25" customHeight="1" x14ac:dyDescent="0.2">
      <c r="A103" s="313">
        <v>9</v>
      </c>
      <c r="B103" s="276"/>
      <c r="C103" s="370" t="s">
        <v>131</v>
      </c>
      <c r="D103" s="276"/>
      <c r="E103" s="101" t="str">
        <f t="shared" si="2"/>
        <v>2025-2026</v>
      </c>
      <c r="F103" s="313">
        <v>0</v>
      </c>
      <c r="G103" s="276"/>
      <c r="H103" s="313"/>
      <c r="I103" s="275"/>
      <c r="J103" s="276"/>
      <c r="K103" s="313"/>
      <c r="L103" s="275"/>
      <c r="M103" s="275"/>
      <c r="N103" s="275"/>
      <c r="O103" s="276"/>
      <c r="P103" s="24"/>
      <c r="Q103" s="24"/>
    </row>
    <row r="104" spans="1:17" ht="17.25" customHeight="1" x14ac:dyDescent="0.2">
      <c r="A104" s="313">
        <v>10</v>
      </c>
      <c r="B104" s="276"/>
      <c r="C104" s="370" t="s">
        <v>62</v>
      </c>
      <c r="D104" s="276"/>
      <c r="E104" s="101" t="str">
        <f t="shared" si="2"/>
        <v>2025-2026</v>
      </c>
      <c r="F104" s="313">
        <v>0</v>
      </c>
      <c r="G104" s="276"/>
      <c r="H104" s="313"/>
      <c r="I104" s="275"/>
      <c r="J104" s="276"/>
      <c r="K104" s="313"/>
      <c r="L104" s="275"/>
      <c r="M104" s="275"/>
      <c r="N104" s="275"/>
      <c r="O104" s="276"/>
      <c r="P104" s="24"/>
      <c r="Q104" s="24"/>
    </row>
    <row r="105" spans="1:17" ht="17.25" customHeight="1" x14ac:dyDescent="0.2">
      <c r="A105" s="313">
        <v>11</v>
      </c>
      <c r="B105" s="276"/>
      <c r="C105" s="370" t="s">
        <v>179</v>
      </c>
      <c r="D105" s="276"/>
      <c r="E105" s="101" t="str">
        <f t="shared" si="2"/>
        <v>2025-2026</v>
      </c>
      <c r="F105" s="313">
        <v>0</v>
      </c>
      <c r="G105" s="276"/>
      <c r="H105" s="313"/>
      <c r="I105" s="275"/>
      <c r="J105" s="276"/>
      <c r="K105" s="313"/>
      <c r="L105" s="275"/>
      <c r="M105" s="275"/>
      <c r="N105" s="275"/>
      <c r="O105" s="276"/>
      <c r="P105" s="24"/>
      <c r="Q105" s="24"/>
    </row>
    <row r="106" spans="1:17" ht="17.25" customHeight="1" x14ac:dyDescent="0.2">
      <c r="A106" s="313">
        <v>12</v>
      </c>
      <c r="B106" s="276"/>
      <c r="C106" s="370" t="s">
        <v>180</v>
      </c>
      <c r="D106" s="276"/>
      <c r="E106" s="101" t="str">
        <f t="shared" si="2"/>
        <v>2025-2026</v>
      </c>
      <c r="F106" s="313">
        <v>0</v>
      </c>
      <c r="G106" s="276"/>
      <c r="H106" s="313"/>
      <c r="I106" s="275"/>
      <c r="J106" s="276"/>
      <c r="K106" s="313"/>
      <c r="L106" s="275"/>
      <c r="M106" s="275"/>
      <c r="N106" s="275"/>
      <c r="O106" s="276"/>
      <c r="P106" s="24"/>
      <c r="Q106" s="24"/>
    </row>
    <row r="107" spans="1:17" ht="17.25" customHeight="1" x14ac:dyDescent="0.2">
      <c r="A107" s="313">
        <v>13</v>
      </c>
      <c r="B107" s="276"/>
      <c r="C107" s="390" t="s">
        <v>181</v>
      </c>
      <c r="D107" s="276"/>
      <c r="E107" s="96" t="str">
        <f t="shared" si="2"/>
        <v>2025-2026</v>
      </c>
      <c r="F107" s="313">
        <f>DATA!O34</f>
        <v>0</v>
      </c>
      <c r="G107" s="276"/>
      <c r="H107" s="313"/>
      <c r="I107" s="275"/>
      <c r="J107" s="276"/>
      <c r="K107" s="313"/>
      <c r="L107" s="275"/>
      <c r="M107" s="275"/>
      <c r="N107" s="275"/>
      <c r="O107" s="276"/>
      <c r="P107" s="24"/>
      <c r="Q107" s="24"/>
    </row>
    <row r="108" spans="1:17" ht="14.25" x14ac:dyDescent="0.2">
      <c r="A108" s="371"/>
      <c r="B108" s="362"/>
      <c r="C108" s="371"/>
      <c r="D108" s="362"/>
      <c r="E108" s="63"/>
      <c r="F108" s="371"/>
      <c r="G108" s="362"/>
      <c r="H108" s="371"/>
      <c r="I108" s="362"/>
      <c r="J108" s="362"/>
      <c r="K108" s="371"/>
      <c r="L108" s="362"/>
      <c r="M108" s="362"/>
      <c r="N108" s="362"/>
      <c r="O108" s="362"/>
      <c r="P108" s="24"/>
      <c r="Q108" s="24"/>
    </row>
    <row r="109" spans="1:17" ht="14.45" customHeight="1" x14ac:dyDescent="0.2">
      <c r="A109" s="388" t="s">
        <v>182</v>
      </c>
      <c r="B109" s="362"/>
      <c r="C109" s="362"/>
      <c r="D109" s="362"/>
      <c r="E109" s="362"/>
      <c r="F109" s="362"/>
      <c r="G109" s="362"/>
      <c r="H109" s="362"/>
      <c r="I109" s="362"/>
      <c r="J109" s="362"/>
      <c r="K109" s="362"/>
      <c r="L109" s="362"/>
      <c r="M109" s="362"/>
      <c r="N109" s="362"/>
      <c r="O109" s="362"/>
      <c r="P109" s="24"/>
      <c r="Q109" s="24"/>
    </row>
    <row r="110" spans="1:17" ht="3" customHeight="1" x14ac:dyDescent="0.2">
      <c r="A110" s="371"/>
      <c r="B110" s="362"/>
      <c r="C110" s="371"/>
      <c r="D110" s="362"/>
      <c r="E110" s="63"/>
      <c r="F110" s="371"/>
      <c r="G110" s="362"/>
      <c r="H110" s="371"/>
      <c r="I110" s="362"/>
      <c r="J110" s="362"/>
      <c r="K110" s="371"/>
      <c r="L110" s="362"/>
      <c r="M110" s="362"/>
      <c r="N110" s="362"/>
      <c r="O110" s="362"/>
      <c r="P110" s="24"/>
      <c r="Q110" s="24"/>
    </row>
    <row r="111" spans="1:17" ht="18.75" customHeight="1" x14ac:dyDescent="0.2">
      <c r="A111" s="389" t="s">
        <v>183</v>
      </c>
      <c r="B111" s="362"/>
      <c r="C111" s="64" t="str">
        <f>DATA!E7</f>
        <v xml:space="preserve">SANJAYKUMAR </v>
      </c>
      <c r="D111" s="64" t="str">
        <f>DATA!K7</f>
        <v xml:space="preserve">NATVARBHAI </v>
      </c>
      <c r="E111" s="65" t="str">
        <f>DATA!P7</f>
        <v>DATTANI</v>
      </c>
      <c r="F111" s="66" t="s">
        <v>184</v>
      </c>
      <c r="G111" s="374" t="str">
        <f>DATA!O10</f>
        <v xml:space="preserve">PRINCIPAL </v>
      </c>
      <c r="H111" s="362"/>
      <c r="I111" s="362"/>
      <c r="J111" s="374" t="str">
        <f>DATA!E6</f>
        <v xml:space="preserve">KADJODARA </v>
      </c>
      <c r="K111" s="362"/>
      <c r="L111" s="362"/>
      <c r="M111" s="361" t="s">
        <v>185</v>
      </c>
      <c r="N111" s="362"/>
      <c r="O111" s="362"/>
      <c r="P111" s="24"/>
      <c r="Q111" s="24"/>
    </row>
    <row r="112" spans="1:17" ht="49.5" customHeight="1" x14ac:dyDescent="0.2">
      <c r="A112" s="372" t="str">
        <f>"જિ.-ગાંધીનગર  ,કબુલાતનામું આપીને જાણાવું છુ કે, આ સાથેના અને તે અંગેના સેલ્ફ એસેસમેન્ટ ફોર્મમાં મેં જે બચતો લખેલ છે તે પ્રમાણેની તમામ બચતો હું કરીશ જ, પરંતુ તે અંગે જે કોઈ બચતપત્રો લેવાના થશે, રોકાણો કરવાના થશે, તે અંગેના તમામ રોકાણ તા.31/03/"&amp;DATA!F5&amp;" સુધીમાં કરી દઈશ તે બાબતની હું ખાત્રી આપું છું."</f>
        <v>જિ.-ગાંધીનગર  ,કબુલાતનામું આપીને જાણાવું છુ કે, આ સાથેના અને તે અંગેના સેલ્ફ એસેસમેન્ટ ફોર્મમાં મેં જે બચતો લખેલ છે તે પ્રમાણેની તમામ બચતો હું કરીશ જ, પરંતુ તે અંગે જે કોઈ બચતપત્રો લેવાના થશે, રોકાણો કરવાના થશે, તે અંગેના તમામ રોકાણ તા.31/03/2026 સુધીમાં કરી દઈશ તે બાબતની હું ખાત્રી આપું છું.</v>
      </c>
      <c r="B112" s="373"/>
      <c r="C112" s="373"/>
      <c r="D112" s="373"/>
      <c r="E112" s="373"/>
      <c r="F112" s="373"/>
      <c r="G112" s="373"/>
      <c r="H112" s="373"/>
      <c r="I112" s="373"/>
      <c r="J112" s="373"/>
      <c r="K112" s="373"/>
      <c r="L112" s="373"/>
      <c r="M112" s="373"/>
      <c r="N112" s="373"/>
      <c r="O112" s="373"/>
      <c r="P112" s="24"/>
      <c r="Q112" s="24"/>
    </row>
    <row r="113" spans="1:17" ht="18.75" customHeight="1" x14ac:dyDescent="0.2">
      <c r="A113" s="374" t="s">
        <v>186</v>
      </c>
      <c r="B113" s="362"/>
      <c r="C113" s="375"/>
      <c r="D113" s="362"/>
      <c r="E113" s="362"/>
      <c r="F113" s="362"/>
      <c r="G113" s="66"/>
      <c r="H113" s="66"/>
      <c r="I113" s="66"/>
      <c r="J113" s="376"/>
      <c r="K113" s="377"/>
      <c r="L113" s="377"/>
      <c r="M113" s="377"/>
      <c r="N113" s="377"/>
      <c r="O113" s="377"/>
      <c r="P113" s="24"/>
      <c r="Q113" s="24"/>
    </row>
    <row r="114" spans="1:17" ht="18.75" customHeight="1" x14ac:dyDescent="0.2">
      <c r="A114" s="374" t="s">
        <v>158</v>
      </c>
      <c r="B114" s="362"/>
      <c r="C114" s="378">
        <f ca="1">TODAY()</f>
        <v>46000</v>
      </c>
      <c r="D114" s="362"/>
      <c r="E114" s="39"/>
      <c r="F114" s="66"/>
      <c r="G114" s="66"/>
      <c r="H114" s="66"/>
      <c r="I114" s="66"/>
      <c r="J114" s="374" t="s">
        <v>187</v>
      </c>
      <c r="K114" s="362"/>
      <c r="L114" s="362"/>
      <c r="M114" s="362"/>
      <c r="N114" s="362"/>
      <c r="O114" s="67"/>
      <c r="P114" s="24"/>
      <c r="Q114" s="24"/>
    </row>
  </sheetData>
  <sheetProtection password="C045" sheet="1" objects="1" scenarios="1"/>
  <mergeCells count="407">
    <mergeCell ref="A112:O112"/>
    <mergeCell ref="A113:B113"/>
    <mergeCell ref="C113:F113"/>
    <mergeCell ref="J113:O113"/>
    <mergeCell ref="A114:B114"/>
    <mergeCell ref="C114:D114"/>
    <mergeCell ref="J114:N114"/>
    <mergeCell ref="A5:A8"/>
    <mergeCell ref="C69:C70"/>
    <mergeCell ref="A69:B70"/>
    <mergeCell ref="F5:O6"/>
    <mergeCell ref="B5:E8"/>
    <mergeCell ref="A109:O109"/>
    <mergeCell ref="A110:B110"/>
    <mergeCell ref="C110:D110"/>
    <mergeCell ref="F110:G110"/>
    <mergeCell ref="H110:J110"/>
    <mergeCell ref="K110:O110"/>
    <mergeCell ref="A111:B111"/>
    <mergeCell ref="G111:I111"/>
    <mergeCell ref="J111:L111"/>
    <mergeCell ref="M111:O111"/>
    <mergeCell ref="A107:B107"/>
    <mergeCell ref="C107:D107"/>
    <mergeCell ref="F107:G107"/>
    <mergeCell ref="H107:J107"/>
    <mergeCell ref="K107:O107"/>
    <mergeCell ref="A108:B108"/>
    <mergeCell ref="C108:D108"/>
    <mergeCell ref="F108:G108"/>
    <mergeCell ref="H108:J108"/>
    <mergeCell ref="K108:O108"/>
    <mergeCell ref="A105:B105"/>
    <mergeCell ref="C105:D105"/>
    <mergeCell ref="F105:G105"/>
    <mergeCell ref="H105:J105"/>
    <mergeCell ref="K105:O105"/>
    <mergeCell ref="A106:B106"/>
    <mergeCell ref="C106:D106"/>
    <mergeCell ref="F106:G106"/>
    <mergeCell ref="H106:J106"/>
    <mergeCell ref="K106:O106"/>
    <mergeCell ref="A103:B103"/>
    <mergeCell ref="C103:D103"/>
    <mergeCell ref="F103:G103"/>
    <mergeCell ref="H103:J103"/>
    <mergeCell ref="K103:O103"/>
    <mergeCell ref="A104:B104"/>
    <mergeCell ref="C104:D104"/>
    <mergeCell ref="F104:G104"/>
    <mergeCell ref="H104:J104"/>
    <mergeCell ref="K104:O104"/>
    <mergeCell ref="A101:B101"/>
    <mergeCell ref="C101:D101"/>
    <mergeCell ref="F101:G101"/>
    <mergeCell ref="H101:J101"/>
    <mergeCell ref="K101:O101"/>
    <mergeCell ref="A102:B102"/>
    <mergeCell ref="C102:D102"/>
    <mergeCell ref="F102:G102"/>
    <mergeCell ref="H102:J102"/>
    <mergeCell ref="K102:O102"/>
    <mergeCell ref="A99:B99"/>
    <mergeCell ref="C99:D99"/>
    <mergeCell ref="F99:G99"/>
    <mergeCell ref="H99:J99"/>
    <mergeCell ref="K99:O99"/>
    <mergeCell ref="A100:B100"/>
    <mergeCell ref="C100:D100"/>
    <mergeCell ref="F100:G100"/>
    <mergeCell ref="H100:J100"/>
    <mergeCell ref="K100:O100"/>
    <mergeCell ref="A97:B97"/>
    <mergeCell ref="C97:D97"/>
    <mergeCell ref="F97:G97"/>
    <mergeCell ref="H97:J97"/>
    <mergeCell ref="K97:O97"/>
    <mergeCell ref="A98:B98"/>
    <mergeCell ref="C98:D98"/>
    <mergeCell ref="F98:G98"/>
    <mergeCell ref="H98:J98"/>
    <mergeCell ref="K98:O98"/>
    <mergeCell ref="A95:B95"/>
    <mergeCell ref="C95:D95"/>
    <mergeCell ref="F95:G95"/>
    <mergeCell ref="H95:J95"/>
    <mergeCell ref="K95:O95"/>
    <mergeCell ref="A96:B96"/>
    <mergeCell ref="C96:D96"/>
    <mergeCell ref="F96:G96"/>
    <mergeCell ref="H96:J96"/>
    <mergeCell ref="K96:O96"/>
    <mergeCell ref="A92:B92"/>
    <mergeCell ref="F92:G92"/>
    <mergeCell ref="H92:I92"/>
    <mergeCell ref="J92:K92"/>
    <mergeCell ref="L92:M92"/>
    <mergeCell ref="N92:O92"/>
    <mergeCell ref="A93:O93"/>
    <mergeCell ref="A94:B94"/>
    <mergeCell ref="C94:D94"/>
    <mergeCell ref="F94:G94"/>
    <mergeCell ref="H94:J94"/>
    <mergeCell ref="K94:O94"/>
    <mergeCell ref="A88:B88"/>
    <mergeCell ref="A89:B89"/>
    <mergeCell ref="A90:B90"/>
    <mergeCell ref="A91:B91"/>
    <mergeCell ref="F91:G91"/>
    <mergeCell ref="H91:I91"/>
    <mergeCell ref="J91:K91"/>
    <mergeCell ref="L91:M91"/>
    <mergeCell ref="N91:O91"/>
    <mergeCell ref="A86:B86"/>
    <mergeCell ref="F86:G86"/>
    <mergeCell ref="H86:I86"/>
    <mergeCell ref="J86:K86"/>
    <mergeCell ref="L86:M86"/>
    <mergeCell ref="N86:O86"/>
    <mergeCell ref="A87:B87"/>
    <mergeCell ref="F87:G87"/>
    <mergeCell ref="H87:I87"/>
    <mergeCell ref="J87:K87"/>
    <mergeCell ref="L87:M87"/>
    <mergeCell ref="N87:O87"/>
    <mergeCell ref="A84:B84"/>
    <mergeCell ref="F84:G84"/>
    <mergeCell ref="H84:I84"/>
    <mergeCell ref="J84:K84"/>
    <mergeCell ref="L84:M84"/>
    <mergeCell ref="N84:O84"/>
    <mergeCell ref="A85:B85"/>
    <mergeCell ref="F85:G85"/>
    <mergeCell ref="H85:I85"/>
    <mergeCell ref="J85:K85"/>
    <mergeCell ref="L85:M85"/>
    <mergeCell ref="N85:O85"/>
    <mergeCell ref="A82:B82"/>
    <mergeCell ref="F82:G82"/>
    <mergeCell ref="H82:I82"/>
    <mergeCell ref="J82:K82"/>
    <mergeCell ref="L82:M82"/>
    <mergeCell ref="N82:O82"/>
    <mergeCell ref="A83:B83"/>
    <mergeCell ref="F83:G83"/>
    <mergeCell ref="H83:I83"/>
    <mergeCell ref="J83:K83"/>
    <mergeCell ref="L83:M83"/>
    <mergeCell ref="N83:O83"/>
    <mergeCell ref="A80:B80"/>
    <mergeCell ref="F80:G80"/>
    <mergeCell ref="H80:I80"/>
    <mergeCell ref="J80:K80"/>
    <mergeCell ref="L80:M80"/>
    <mergeCell ref="N80:O80"/>
    <mergeCell ref="A81:B81"/>
    <mergeCell ref="F81:G81"/>
    <mergeCell ref="H81:I81"/>
    <mergeCell ref="J81:K81"/>
    <mergeCell ref="L81:M81"/>
    <mergeCell ref="N81:O81"/>
    <mergeCell ref="A78:B78"/>
    <mergeCell ref="F78:G78"/>
    <mergeCell ref="H78:I78"/>
    <mergeCell ref="J78:K78"/>
    <mergeCell ref="L78:M78"/>
    <mergeCell ref="N78:O78"/>
    <mergeCell ref="A79:B79"/>
    <mergeCell ref="F79:G79"/>
    <mergeCell ref="H79:I79"/>
    <mergeCell ref="J79:K79"/>
    <mergeCell ref="L79:M79"/>
    <mergeCell ref="N79:O79"/>
    <mergeCell ref="A76:B76"/>
    <mergeCell ref="F76:G76"/>
    <mergeCell ref="H76:I76"/>
    <mergeCell ref="J76:K76"/>
    <mergeCell ref="L76:M76"/>
    <mergeCell ref="N76:O76"/>
    <mergeCell ref="A77:B77"/>
    <mergeCell ref="F77:G77"/>
    <mergeCell ref="H77:I77"/>
    <mergeCell ref="J77:K77"/>
    <mergeCell ref="L77:M77"/>
    <mergeCell ref="N77:O77"/>
    <mergeCell ref="A74:B74"/>
    <mergeCell ref="F74:G74"/>
    <mergeCell ref="H74:I74"/>
    <mergeCell ref="J74:K74"/>
    <mergeCell ref="L74:M74"/>
    <mergeCell ref="N74:O74"/>
    <mergeCell ref="A75:B75"/>
    <mergeCell ref="F75:G75"/>
    <mergeCell ref="H75:I75"/>
    <mergeCell ref="J75:K75"/>
    <mergeCell ref="L75:M75"/>
    <mergeCell ref="N75:O75"/>
    <mergeCell ref="A72:B72"/>
    <mergeCell ref="F72:G72"/>
    <mergeCell ref="H72:I72"/>
    <mergeCell ref="J72:K72"/>
    <mergeCell ref="L72:M72"/>
    <mergeCell ref="N72:O72"/>
    <mergeCell ref="A73:B73"/>
    <mergeCell ref="F73:G73"/>
    <mergeCell ref="H73:I73"/>
    <mergeCell ref="J73:K73"/>
    <mergeCell ref="L73:M73"/>
    <mergeCell ref="N73:O73"/>
    <mergeCell ref="A68:O68"/>
    <mergeCell ref="D69:O69"/>
    <mergeCell ref="F70:G70"/>
    <mergeCell ref="H70:I70"/>
    <mergeCell ref="J70:K70"/>
    <mergeCell ref="L70:M70"/>
    <mergeCell ref="N70:O70"/>
    <mergeCell ref="A71:B71"/>
    <mergeCell ref="F71:G71"/>
    <mergeCell ref="H71:I71"/>
    <mergeCell ref="J71:K71"/>
    <mergeCell ref="L71:M71"/>
    <mergeCell ref="N71:O71"/>
    <mergeCell ref="B64:J64"/>
    <mergeCell ref="K64:L64"/>
    <mergeCell ref="M64:O64"/>
    <mergeCell ref="A65:O65"/>
    <mergeCell ref="A66:B66"/>
    <mergeCell ref="C66:E66"/>
    <mergeCell ref="K66:O66"/>
    <mergeCell ref="A67:B67"/>
    <mergeCell ref="C67:D67"/>
    <mergeCell ref="F67:I67"/>
    <mergeCell ref="K67:O67"/>
    <mergeCell ref="B61:J61"/>
    <mergeCell ref="K61:L61"/>
    <mergeCell ref="M61:O61"/>
    <mergeCell ref="B62:J62"/>
    <mergeCell ref="K62:L62"/>
    <mergeCell ref="M62:O62"/>
    <mergeCell ref="B63:J63"/>
    <mergeCell ref="K63:L63"/>
    <mergeCell ref="M63:O63"/>
    <mergeCell ref="B58:E58"/>
    <mergeCell ref="F58:I58"/>
    <mergeCell ref="K58:L58"/>
    <mergeCell ref="M58:O58"/>
    <mergeCell ref="B59:J59"/>
    <mergeCell ref="K59:L59"/>
    <mergeCell ref="M59:O59"/>
    <mergeCell ref="B60:J60"/>
    <mergeCell ref="K60:L60"/>
    <mergeCell ref="M60:O60"/>
    <mergeCell ref="B55:J55"/>
    <mergeCell ref="K55:L55"/>
    <mergeCell ref="M55:O55"/>
    <mergeCell ref="B56:J56"/>
    <mergeCell ref="K56:L56"/>
    <mergeCell ref="M56:O56"/>
    <mergeCell ref="B57:J57"/>
    <mergeCell ref="K57:L57"/>
    <mergeCell ref="M57:O57"/>
    <mergeCell ref="B52:J52"/>
    <mergeCell ref="K52:L52"/>
    <mergeCell ref="M52:O52"/>
    <mergeCell ref="B53:J53"/>
    <mergeCell ref="K53:L53"/>
    <mergeCell ref="M53:O53"/>
    <mergeCell ref="B54:J54"/>
    <mergeCell ref="K54:L54"/>
    <mergeCell ref="M54:O54"/>
    <mergeCell ref="C47:J47"/>
    <mergeCell ref="K47:L47"/>
    <mergeCell ref="M47:O47"/>
    <mergeCell ref="C48:J48"/>
    <mergeCell ref="K48:L48"/>
    <mergeCell ref="M48:O48"/>
    <mergeCell ref="C49:J49"/>
    <mergeCell ref="K49:L49"/>
    <mergeCell ref="C51:J51"/>
    <mergeCell ref="K51:L51"/>
    <mergeCell ref="C50:J50"/>
    <mergeCell ref="K50:L50"/>
    <mergeCell ref="B44:J44"/>
    <mergeCell ref="K44:L44"/>
    <mergeCell ref="M44:O44"/>
    <mergeCell ref="B45:J45"/>
    <mergeCell ref="K45:L45"/>
    <mergeCell ref="M45:O45"/>
    <mergeCell ref="C46:J46"/>
    <mergeCell ref="K46:L46"/>
    <mergeCell ref="M46:O46"/>
    <mergeCell ref="K39:L39"/>
    <mergeCell ref="M39:O39"/>
    <mergeCell ref="K40:L40"/>
    <mergeCell ref="M40:O40"/>
    <mergeCell ref="K41:L41"/>
    <mergeCell ref="M41:O41"/>
    <mergeCell ref="K42:L42"/>
    <mergeCell ref="B43:J43"/>
    <mergeCell ref="K43:L43"/>
    <mergeCell ref="M43:O43"/>
    <mergeCell ref="C35:J35"/>
    <mergeCell ref="K35:L35"/>
    <mergeCell ref="M35:O35"/>
    <mergeCell ref="B36:J36"/>
    <mergeCell ref="K36:L36"/>
    <mergeCell ref="M36:O36"/>
    <mergeCell ref="K37:L37"/>
    <mergeCell ref="M37:O37"/>
    <mergeCell ref="K38:L38"/>
    <mergeCell ref="M38:O38"/>
    <mergeCell ref="C32:J32"/>
    <mergeCell ref="K32:L32"/>
    <mergeCell ref="M32:O32"/>
    <mergeCell ref="C33:J33"/>
    <mergeCell ref="K33:L33"/>
    <mergeCell ref="M33:O33"/>
    <mergeCell ref="C34:J34"/>
    <mergeCell ref="K34:L34"/>
    <mergeCell ref="M34:O34"/>
    <mergeCell ref="C29:J29"/>
    <mergeCell ref="K29:L29"/>
    <mergeCell ref="M29:O29"/>
    <mergeCell ref="C30:J30"/>
    <mergeCell ref="K30:L30"/>
    <mergeCell ref="M30:O30"/>
    <mergeCell ref="C31:J31"/>
    <mergeCell ref="K31:L31"/>
    <mergeCell ref="M31:O31"/>
    <mergeCell ref="C26:J26"/>
    <mergeCell ref="K26:L26"/>
    <mergeCell ref="M26:O26"/>
    <mergeCell ref="C27:J27"/>
    <mergeCell ref="K27:L27"/>
    <mergeCell ref="M27:O27"/>
    <mergeCell ref="C28:J28"/>
    <mergeCell ref="K28:L28"/>
    <mergeCell ref="M28:O28"/>
    <mergeCell ref="C23:J23"/>
    <mergeCell ref="K23:L23"/>
    <mergeCell ref="M23:O23"/>
    <mergeCell ref="C24:J24"/>
    <mergeCell ref="K24:L24"/>
    <mergeCell ref="M24:O24"/>
    <mergeCell ref="C25:J25"/>
    <mergeCell ref="K25:L25"/>
    <mergeCell ref="M25:O25"/>
    <mergeCell ref="B20:J20"/>
    <mergeCell ref="K20:L20"/>
    <mergeCell ref="M20:O20"/>
    <mergeCell ref="B21:J21"/>
    <mergeCell ref="K21:L21"/>
    <mergeCell ref="M21:O21"/>
    <mergeCell ref="B22:J22"/>
    <mergeCell ref="K22:L22"/>
    <mergeCell ref="M22:O22"/>
    <mergeCell ref="C17:J17"/>
    <mergeCell ref="K17:L17"/>
    <mergeCell ref="M17:O17"/>
    <mergeCell ref="C18:J18"/>
    <mergeCell ref="K18:L18"/>
    <mergeCell ref="M18:O18"/>
    <mergeCell ref="C19:J19"/>
    <mergeCell ref="K19:L19"/>
    <mergeCell ref="M19:O19"/>
    <mergeCell ref="B14:J14"/>
    <mergeCell ref="K14:L14"/>
    <mergeCell ref="M14:O14"/>
    <mergeCell ref="B15:J15"/>
    <mergeCell ref="K15:L15"/>
    <mergeCell ref="M15:O15"/>
    <mergeCell ref="C16:J16"/>
    <mergeCell ref="K16:L16"/>
    <mergeCell ref="M16:O16"/>
    <mergeCell ref="B10:C10"/>
    <mergeCell ref="D10:E10"/>
    <mergeCell ref="F10:O10"/>
    <mergeCell ref="B11:E11"/>
    <mergeCell ref="F11:O11"/>
    <mergeCell ref="B12:E12"/>
    <mergeCell ref="F12:H12"/>
    <mergeCell ref="B13:J13"/>
    <mergeCell ref="K13:O13"/>
    <mergeCell ref="B4:E4"/>
    <mergeCell ref="F4:G4"/>
    <mergeCell ref="H4:J4"/>
    <mergeCell ref="M4:O4"/>
    <mergeCell ref="F7:I7"/>
    <mergeCell ref="J7:O7"/>
    <mergeCell ref="F8:I8"/>
    <mergeCell ref="J8:O8"/>
    <mergeCell ref="B9:C9"/>
    <mergeCell ref="D9:E9"/>
    <mergeCell ref="F9:J9"/>
    <mergeCell ref="K9:O9"/>
    <mergeCell ref="A1:B1"/>
    <mergeCell ref="C1:E1"/>
    <mergeCell ref="F1:L1"/>
    <mergeCell ref="M1:O1"/>
    <mergeCell ref="A2:B2"/>
    <mergeCell ref="C2:E2"/>
    <mergeCell ref="H2:K2"/>
    <mergeCell ref="L2:O2"/>
    <mergeCell ref="B3:E3"/>
    <mergeCell ref="F3:G3"/>
    <mergeCell ref="H3:J3"/>
    <mergeCell ref="K3:O3"/>
  </mergeCells>
  <dataValidations count="1">
    <dataValidation type="list" allowBlank="1" showErrorMessage="1" sqref="F12" xr:uid="{00000000-0002-0000-0200-000000000000}">
      <formula1>"MALE,FEMALE"</formula1>
    </dataValidation>
  </dataValidations>
  <printOptions horizontalCentered="1"/>
  <pageMargins left="0" right="0" top="0" bottom="3.937007874015748E-2" header="0" footer="0"/>
  <pageSetup paperSize="9" scale="80" orientation="portrait" r:id="rId1"/>
  <rowBreaks count="1" manualBreakCount="1">
    <brk id="6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38953"/>
  </sheetPr>
  <dimension ref="A1:Q112"/>
  <sheetViews>
    <sheetView topLeftCell="A34" workbookViewId="0">
      <selection activeCell="B59" sqref="B59:J59"/>
    </sheetView>
  </sheetViews>
  <sheetFormatPr defaultColWidth="14.3515625" defaultRowHeight="15" customHeight="1" x14ac:dyDescent="0.2"/>
  <cols>
    <col min="1" max="1" width="9.6171875" customWidth="1"/>
    <col min="2" max="2" width="18.9375" customWidth="1"/>
    <col min="3" max="3" width="13.61328125" customWidth="1"/>
    <col min="4" max="4" width="12.72265625" customWidth="1"/>
    <col min="5" max="5" width="9.9140625" customWidth="1"/>
    <col min="6" max="9" width="6.06640625" customWidth="1"/>
    <col min="10" max="10" width="13.31640625" customWidth="1"/>
    <col min="11" max="11" width="7.25" customWidth="1"/>
    <col min="12" max="12" width="8.58203125" customWidth="1"/>
    <col min="13" max="15" width="4.4375" customWidth="1"/>
    <col min="16" max="17" width="9.171875" customWidth="1"/>
  </cols>
  <sheetData>
    <row r="1" spans="1:17" ht="22.5" customHeight="1" x14ac:dyDescent="0.2">
      <c r="A1" s="391" t="s">
        <v>102</v>
      </c>
      <c r="B1" s="303"/>
      <c r="C1" s="392" t="str">
        <f>DATA!P6</f>
        <v xml:space="preserve">KADJODARA </v>
      </c>
      <c r="D1" s="303"/>
      <c r="E1" s="303"/>
      <c r="F1" s="393" t="str">
        <f>DATA!E6</f>
        <v xml:space="preserve">KADJODARA </v>
      </c>
      <c r="G1" s="303"/>
      <c r="H1" s="303"/>
      <c r="I1" s="303"/>
      <c r="J1" s="303"/>
      <c r="K1" s="303"/>
      <c r="L1" s="303"/>
      <c r="M1" s="392" t="str">
        <f>DATA!K6</f>
        <v>પ્રા.શાળા</v>
      </c>
      <c r="N1" s="303"/>
      <c r="O1" s="306"/>
      <c r="P1" s="36"/>
      <c r="Q1" s="36"/>
    </row>
    <row r="2" spans="1:17" ht="17.25" customHeight="1" x14ac:dyDescent="0.2">
      <c r="A2" s="302" t="s">
        <v>103</v>
      </c>
      <c r="B2" s="303"/>
      <c r="C2" s="304" t="str">
        <f>DATA!E5&amp;" - "&amp;DATA!F5</f>
        <v>2025 - 2026</v>
      </c>
      <c r="D2" s="303"/>
      <c r="E2" s="303"/>
      <c r="F2" s="12"/>
      <c r="G2" s="12"/>
      <c r="H2" s="305" t="s">
        <v>104</v>
      </c>
      <c r="I2" s="303"/>
      <c r="J2" s="303"/>
      <c r="K2" s="303"/>
      <c r="L2" s="304" t="str">
        <f>(DATA!E5)+1&amp;" - "&amp;(DATA!F5)+1</f>
        <v>2026 - 2027</v>
      </c>
      <c r="M2" s="303"/>
      <c r="N2" s="303"/>
      <c r="O2" s="306"/>
      <c r="P2" s="24"/>
      <c r="Q2" s="24"/>
    </row>
    <row r="3" spans="1:17" ht="18.75" customHeight="1" x14ac:dyDescent="0.2">
      <c r="A3" s="13"/>
      <c r="B3" s="307" t="s">
        <v>105</v>
      </c>
      <c r="C3" s="303"/>
      <c r="D3" s="303"/>
      <c r="E3" s="303"/>
      <c r="F3" s="308" t="str">
        <f>DATA!P7</f>
        <v>DATTANI</v>
      </c>
      <c r="G3" s="303"/>
      <c r="H3" s="309" t="str">
        <f>DATA!E7</f>
        <v xml:space="preserve">SANJAYKUMAR </v>
      </c>
      <c r="I3" s="303"/>
      <c r="J3" s="303"/>
      <c r="K3" s="307" t="str">
        <f>DATA!K7</f>
        <v xml:space="preserve">NATVARBHAI </v>
      </c>
      <c r="L3" s="303"/>
      <c r="M3" s="303"/>
      <c r="N3" s="303"/>
      <c r="O3" s="306"/>
      <c r="P3" s="24"/>
      <c r="Q3" s="24"/>
    </row>
    <row r="4" spans="1:17" ht="18.75" customHeight="1" x14ac:dyDescent="0.2">
      <c r="A4" s="14"/>
      <c r="B4" s="310" t="s">
        <v>106</v>
      </c>
      <c r="C4" s="294"/>
      <c r="D4" s="294"/>
      <c r="E4" s="294"/>
      <c r="F4" s="311" t="str">
        <f>DATA!P7</f>
        <v>DATTANI</v>
      </c>
      <c r="G4" s="272"/>
      <c r="H4" s="312" t="str">
        <f>DATA!K7</f>
        <v xml:space="preserve">NATVARBHAI </v>
      </c>
      <c r="I4" s="272"/>
      <c r="J4" s="272"/>
      <c r="K4" s="92"/>
      <c r="L4" s="92"/>
      <c r="M4" s="312"/>
      <c r="N4" s="272"/>
      <c r="O4" s="273"/>
      <c r="P4" s="24"/>
      <c r="Q4" s="24"/>
    </row>
    <row r="5" spans="1:17" ht="18.75" customHeight="1" x14ac:dyDescent="0.2">
      <c r="A5" s="379"/>
      <c r="B5" s="386" t="s">
        <v>107</v>
      </c>
      <c r="C5" s="293"/>
      <c r="D5" s="293"/>
      <c r="E5" s="291"/>
      <c r="F5" s="384" t="str">
        <f>DATA!E8</f>
        <v>KADJODARA   PRIMARY SCHOOL</v>
      </c>
      <c r="G5" s="293"/>
      <c r="H5" s="293"/>
      <c r="I5" s="293"/>
      <c r="J5" s="293"/>
      <c r="K5" s="293"/>
      <c r="L5" s="293"/>
      <c r="M5" s="293"/>
      <c r="N5" s="293"/>
      <c r="O5" s="356"/>
      <c r="P5" s="24"/>
      <c r="Q5" s="24"/>
    </row>
    <row r="6" spans="1:17" ht="18.75" customHeight="1" x14ac:dyDescent="0.2">
      <c r="A6" s="380"/>
      <c r="B6" s="362"/>
      <c r="C6" s="377"/>
      <c r="D6" s="377"/>
      <c r="E6" s="387"/>
      <c r="F6" s="286"/>
      <c r="G6" s="294"/>
      <c r="H6" s="294"/>
      <c r="I6" s="294"/>
      <c r="J6" s="294"/>
      <c r="K6" s="294"/>
      <c r="L6" s="294"/>
      <c r="M6" s="294"/>
      <c r="N6" s="294"/>
      <c r="O6" s="385"/>
      <c r="P6" s="24"/>
      <c r="Q6" s="24"/>
    </row>
    <row r="7" spans="1:17" ht="18.75" customHeight="1" x14ac:dyDescent="0.2">
      <c r="A7" s="380"/>
      <c r="B7" s="362"/>
      <c r="C7" s="377"/>
      <c r="D7" s="377"/>
      <c r="E7" s="387"/>
      <c r="F7" s="313" t="s">
        <v>108</v>
      </c>
      <c r="G7" s="275"/>
      <c r="H7" s="275"/>
      <c r="I7" s="276"/>
      <c r="J7" s="314" t="str">
        <f>DATA!G9</f>
        <v>DEHGAM</v>
      </c>
      <c r="K7" s="275"/>
      <c r="L7" s="275"/>
      <c r="M7" s="275"/>
      <c r="N7" s="275"/>
      <c r="O7" s="315"/>
      <c r="P7" s="24"/>
      <c r="Q7" s="24"/>
    </row>
    <row r="8" spans="1:17" ht="18.75" customHeight="1" x14ac:dyDescent="0.2">
      <c r="A8" s="381"/>
      <c r="B8" s="294"/>
      <c r="C8" s="294"/>
      <c r="D8" s="294"/>
      <c r="E8" s="292"/>
      <c r="F8" s="316" t="s">
        <v>109</v>
      </c>
      <c r="G8" s="275"/>
      <c r="H8" s="275"/>
      <c r="I8" s="276"/>
      <c r="J8" s="317">
        <f>DATA!E10</f>
        <v>0</v>
      </c>
      <c r="K8" s="275"/>
      <c r="L8" s="275"/>
      <c r="M8" s="275"/>
      <c r="N8" s="275"/>
      <c r="O8" s="315"/>
      <c r="P8" s="24"/>
      <c r="Q8" s="24"/>
    </row>
    <row r="9" spans="1:17" ht="18.75" customHeight="1" x14ac:dyDescent="0.2">
      <c r="A9" s="15"/>
      <c r="B9" s="318" t="s">
        <v>110</v>
      </c>
      <c r="C9" s="276"/>
      <c r="D9" s="319">
        <f>DATA!E12</f>
        <v>9925319951</v>
      </c>
      <c r="E9" s="276"/>
      <c r="F9" s="320" t="s">
        <v>18</v>
      </c>
      <c r="G9" s="275"/>
      <c r="H9" s="275"/>
      <c r="I9" s="275"/>
      <c r="J9" s="276"/>
      <c r="K9" s="321">
        <f>DATA!O12</f>
        <v>30147</v>
      </c>
      <c r="L9" s="275"/>
      <c r="M9" s="275"/>
      <c r="N9" s="275"/>
      <c r="O9" s="315"/>
      <c r="P9" s="24"/>
      <c r="Q9" s="24"/>
    </row>
    <row r="10" spans="1:17" ht="18.75" customHeight="1" x14ac:dyDescent="0.2">
      <c r="A10" s="15"/>
      <c r="B10" s="318" t="s">
        <v>15</v>
      </c>
      <c r="C10" s="275"/>
      <c r="D10" s="322"/>
      <c r="E10" s="276"/>
      <c r="F10" s="323">
        <f>DATA!E11</f>
        <v>0</v>
      </c>
      <c r="G10" s="275"/>
      <c r="H10" s="275"/>
      <c r="I10" s="275"/>
      <c r="J10" s="275"/>
      <c r="K10" s="275"/>
      <c r="L10" s="275"/>
      <c r="M10" s="275"/>
      <c r="N10" s="275"/>
      <c r="O10" s="315"/>
      <c r="P10" s="24"/>
      <c r="Q10" s="24"/>
    </row>
    <row r="11" spans="1:17" ht="18.75" customHeight="1" x14ac:dyDescent="0.2">
      <c r="A11" s="15"/>
      <c r="B11" s="318" t="s">
        <v>111</v>
      </c>
      <c r="C11" s="275"/>
      <c r="D11" s="275"/>
      <c r="E11" s="275"/>
      <c r="F11" s="324">
        <f>DATA!E14</f>
        <v>0</v>
      </c>
      <c r="G11" s="275"/>
      <c r="H11" s="275"/>
      <c r="I11" s="275"/>
      <c r="J11" s="275"/>
      <c r="K11" s="275"/>
      <c r="L11" s="275"/>
      <c r="M11" s="275"/>
      <c r="N11" s="275"/>
      <c r="O11" s="315"/>
      <c r="P11" s="24"/>
      <c r="Q11" s="24"/>
    </row>
    <row r="12" spans="1:17" ht="18.75" customHeight="1" x14ac:dyDescent="0.2">
      <c r="A12" s="16"/>
      <c r="B12" s="325" t="s">
        <v>112</v>
      </c>
      <c r="C12" s="326"/>
      <c r="D12" s="326"/>
      <c r="E12" s="326"/>
      <c r="F12" s="327"/>
      <c r="G12" s="326"/>
      <c r="H12" s="326"/>
      <c r="I12" s="25"/>
      <c r="J12" s="26" t="str">
        <f>DATA!K14</f>
        <v>MALE</v>
      </c>
      <c r="K12" s="25"/>
      <c r="L12" s="25"/>
      <c r="M12" s="25"/>
      <c r="N12" s="25"/>
      <c r="O12" s="37"/>
      <c r="P12" s="24"/>
      <c r="Q12" s="24"/>
    </row>
    <row r="13" spans="1:17" ht="15" customHeight="1" x14ac:dyDescent="0.2">
      <c r="A13" s="17" t="s">
        <v>113</v>
      </c>
      <c r="B13" s="328" t="s">
        <v>114</v>
      </c>
      <c r="C13" s="272"/>
      <c r="D13" s="272"/>
      <c r="E13" s="272"/>
      <c r="F13" s="272"/>
      <c r="G13" s="272"/>
      <c r="H13" s="272"/>
      <c r="I13" s="272"/>
      <c r="J13" s="329"/>
      <c r="K13" s="328" t="s">
        <v>115</v>
      </c>
      <c r="L13" s="272"/>
      <c r="M13" s="272"/>
      <c r="N13" s="272"/>
      <c r="O13" s="273"/>
      <c r="P13" s="24"/>
      <c r="Q13" s="24"/>
    </row>
    <row r="14" spans="1:17" ht="15" customHeight="1" x14ac:dyDescent="0.2">
      <c r="A14" s="18">
        <v>1</v>
      </c>
      <c r="B14" s="323" t="s">
        <v>116</v>
      </c>
      <c r="C14" s="275"/>
      <c r="D14" s="275"/>
      <c r="E14" s="275"/>
      <c r="F14" s="275"/>
      <c r="G14" s="275"/>
      <c r="H14" s="275"/>
      <c r="I14" s="275"/>
      <c r="J14" s="276"/>
      <c r="K14" s="330"/>
      <c r="L14" s="276"/>
      <c r="M14" s="331">
        <f>C90</f>
        <v>1096672</v>
      </c>
      <c r="N14" s="275"/>
      <c r="O14" s="315"/>
      <c r="P14" s="24"/>
      <c r="Q14" s="24"/>
    </row>
    <row r="15" spans="1:17" ht="15" customHeight="1" x14ac:dyDescent="0.2">
      <c r="A15" s="19">
        <v>2</v>
      </c>
      <c r="B15" s="332" t="s">
        <v>117</v>
      </c>
      <c r="C15" s="275"/>
      <c r="D15" s="275"/>
      <c r="E15" s="275"/>
      <c r="F15" s="275"/>
      <c r="G15" s="275"/>
      <c r="H15" s="275"/>
      <c r="I15" s="275"/>
      <c r="J15" s="276"/>
      <c r="K15" s="330"/>
      <c r="L15" s="276"/>
      <c r="M15" s="333"/>
      <c r="N15" s="275"/>
      <c r="O15" s="315"/>
      <c r="P15" s="24"/>
      <c r="Q15" s="24"/>
    </row>
    <row r="16" spans="1:17" ht="15" customHeight="1" x14ac:dyDescent="0.2">
      <c r="A16" s="19"/>
      <c r="B16" s="20">
        <v>1</v>
      </c>
      <c r="C16" s="323" t="s">
        <v>188</v>
      </c>
      <c r="D16" s="275"/>
      <c r="E16" s="275"/>
      <c r="F16" s="275"/>
      <c r="G16" s="275"/>
      <c r="H16" s="275"/>
      <c r="I16" s="275"/>
      <c r="J16" s="276"/>
      <c r="K16" s="335">
        <v>50000</v>
      </c>
      <c r="L16" s="276"/>
      <c r="M16" s="333"/>
      <c r="N16" s="275"/>
      <c r="O16" s="315"/>
      <c r="P16" s="24"/>
      <c r="Q16" s="24"/>
    </row>
    <row r="17" spans="1:17" ht="15" customHeight="1" x14ac:dyDescent="0.2">
      <c r="A17" s="19"/>
      <c r="B17" s="20">
        <v>2</v>
      </c>
      <c r="C17" s="332" t="s">
        <v>189</v>
      </c>
      <c r="D17" s="275"/>
      <c r="E17" s="275"/>
      <c r="F17" s="275"/>
      <c r="G17" s="275"/>
      <c r="H17" s="275"/>
      <c r="I17" s="275"/>
      <c r="J17" s="276"/>
      <c r="K17" s="335">
        <f>H90</f>
        <v>2400</v>
      </c>
      <c r="L17" s="276"/>
      <c r="M17" s="333"/>
      <c r="N17" s="275"/>
      <c r="O17" s="315"/>
      <c r="P17" s="24"/>
      <c r="Q17" s="24"/>
    </row>
    <row r="18" spans="1:17" ht="15" customHeight="1" x14ac:dyDescent="0.2">
      <c r="A18" s="19"/>
      <c r="B18" s="20">
        <v>3</v>
      </c>
      <c r="C18" s="394" t="s">
        <v>190</v>
      </c>
      <c r="D18" s="275"/>
      <c r="E18" s="275"/>
      <c r="F18" s="275"/>
      <c r="G18" s="275"/>
      <c r="H18" s="275"/>
      <c r="I18" s="275"/>
      <c r="J18" s="276"/>
      <c r="K18" s="335">
        <f>IF(DATA!K20&gt;200000,200000,DATA!K20)</f>
        <v>0</v>
      </c>
      <c r="L18" s="276"/>
      <c r="M18" s="333"/>
      <c r="N18" s="275"/>
      <c r="O18" s="315"/>
      <c r="P18" s="24"/>
      <c r="Q18" s="24"/>
    </row>
    <row r="19" spans="1:17" ht="15" customHeight="1" x14ac:dyDescent="0.2">
      <c r="A19" s="19"/>
      <c r="B19" s="20">
        <v>4</v>
      </c>
      <c r="C19" s="337" t="s">
        <v>120</v>
      </c>
      <c r="D19" s="275"/>
      <c r="E19" s="275"/>
      <c r="F19" s="275"/>
      <c r="G19" s="275"/>
      <c r="H19" s="275"/>
      <c r="I19" s="275"/>
      <c r="J19" s="276"/>
      <c r="K19" s="335">
        <v>0</v>
      </c>
      <c r="L19" s="276"/>
      <c r="M19" s="330"/>
      <c r="N19" s="275"/>
      <c r="O19" s="315"/>
      <c r="P19" s="24"/>
      <c r="Q19" s="24"/>
    </row>
    <row r="20" spans="1:17" ht="15" customHeight="1" x14ac:dyDescent="0.2">
      <c r="A20" s="19">
        <v>3</v>
      </c>
      <c r="B20" s="338" t="s">
        <v>121</v>
      </c>
      <c r="C20" s="275"/>
      <c r="D20" s="275"/>
      <c r="E20" s="275"/>
      <c r="F20" s="275"/>
      <c r="G20" s="275"/>
      <c r="H20" s="275"/>
      <c r="I20" s="275"/>
      <c r="J20" s="276"/>
      <c r="K20" s="335"/>
      <c r="L20" s="276"/>
      <c r="M20" s="331">
        <f>K16+K17+K18+K19</f>
        <v>52400</v>
      </c>
      <c r="N20" s="275"/>
      <c r="O20" s="315"/>
      <c r="P20" s="24"/>
      <c r="Q20" s="24"/>
    </row>
    <row r="21" spans="1:17" ht="15" customHeight="1" x14ac:dyDescent="0.2">
      <c r="A21" s="19">
        <v>4</v>
      </c>
      <c r="B21" s="338" t="s">
        <v>122</v>
      </c>
      <c r="C21" s="275"/>
      <c r="D21" s="275"/>
      <c r="E21" s="275"/>
      <c r="F21" s="275"/>
      <c r="G21" s="275"/>
      <c r="H21" s="275"/>
      <c r="I21" s="275"/>
      <c r="J21" s="276"/>
      <c r="K21" s="335"/>
      <c r="L21" s="276"/>
      <c r="M21" s="331">
        <f>M14-M20</f>
        <v>1044272</v>
      </c>
      <c r="N21" s="275"/>
      <c r="O21" s="315"/>
      <c r="P21" s="24"/>
      <c r="Q21" s="24"/>
    </row>
    <row r="22" spans="1:17" ht="15" customHeight="1" x14ac:dyDescent="0.2">
      <c r="A22" s="18">
        <v>5</v>
      </c>
      <c r="B22" s="323" t="s">
        <v>123</v>
      </c>
      <c r="C22" s="275"/>
      <c r="D22" s="275"/>
      <c r="E22" s="275"/>
      <c r="F22" s="275"/>
      <c r="G22" s="275"/>
      <c r="H22" s="275"/>
      <c r="I22" s="275"/>
      <c r="J22" s="276"/>
      <c r="K22" s="335"/>
      <c r="L22" s="276"/>
      <c r="M22" s="331"/>
      <c r="N22" s="275"/>
      <c r="O22" s="315"/>
      <c r="P22" s="24"/>
      <c r="Q22" s="24"/>
    </row>
    <row r="23" spans="1:17" ht="15" customHeight="1" x14ac:dyDescent="0.2">
      <c r="A23" s="18"/>
      <c r="B23" s="20">
        <v>1</v>
      </c>
      <c r="C23" s="332" t="s">
        <v>191</v>
      </c>
      <c r="D23" s="275"/>
      <c r="E23" s="275"/>
      <c r="F23" s="275"/>
      <c r="G23" s="275"/>
      <c r="H23" s="275"/>
      <c r="I23" s="275"/>
      <c r="J23" s="276"/>
      <c r="K23" s="335">
        <f>'OLD REGIME'!E90</f>
        <v>0</v>
      </c>
      <c r="L23" s="276"/>
      <c r="M23" s="335"/>
      <c r="N23" s="275"/>
      <c r="O23" s="315"/>
      <c r="P23" s="24"/>
      <c r="Q23" s="24"/>
    </row>
    <row r="24" spans="1:17" ht="15" customHeight="1" x14ac:dyDescent="0.2">
      <c r="A24" s="18"/>
      <c r="B24" s="20">
        <v>2</v>
      </c>
      <c r="C24" s="332" t="s">
        <v>192</v>
      </c>
      <c r="D24" s="275"/>
      <c r="E24" s="275"/>
      <c r="F24" s="275"/>
      <c r="G24" s="275"/>
      <c r="H24" s="275"/>
      <c r="I24" s="275"/>
      <c r="J24" s="276"/>
      <c r="K24" s="335">
        <f>F90+DATA!G18+DATA!I18-DATA!O34</f>
        <v>102403</v>
      </c>
      <c r="L24" s="276"/>
      <c r="M24" s="333"/>
      <c r="N24" s="275"/>
      <c r="O24" s="315"/>
      <c r="P24" s="24"/>
      <c r="Q24" s="24"/>
    </row>
    <row r="25" spans="1:17" ht="15" customHeight="1" x14ac:dyDescent="0.2">
      <c r="A25" s="18"/>
      <c r="B25" s="20">
        <v>3</v>
      </c>
      <c r="C25" s="332" t="s">
        <v>124</v>
      </c>
      <c r="D25" s="275"/>
      <c r="E25" s="275"/>
      <c r="F25" s="275"/>
      <c r="G25" s="275"/>
      <c r="H25" s="275"/>
      <c r="I25" s="275"/>
      <c r="J25" s="276"/>
      <c r="K25" s="335">
        <f>J90</f>
        <v>9600</v>
      </c>
      <c r="L25" s="276"/>
      <c r="M25" s="333"/>
      <c r="N25" s="275"/>
      <c r="O25" s="315"/>
      <c r="P25" s="24"/>
      <c r="Q25" s="24"/>
    </row>
    <row r="26" spans="1:17" ht="15" customHeight="1" x14ac:dyDescent="0.2">
      <c r="A26" s="18"/>
      <c r="B26" s="20">
        <v>4</v>
      </c>
      <c r="C26" s="332" t="s">
        <v>125</v>
      </c>
      <c r="D26" s="275"/>
      <c r="E26" s="275"/>
      <c r="F26" s="275"/>
      <c r="G26" s="275"/>
      <c r="H26" s="275"/>
      <c r="I26" s="275"/>
      <c r="J26" s="276"/>
      <c r="K26" s="335">
        <f>DATA!K22</f>
        <v>0</v>
      </c>
      <c r="L26" s="276"/>
      <c r="M26" s="333"/>
      <c r="N26" s="275"/>
      <c r="O26" s="315"/>
      <c r="P26" s="24"/>
      <c r="Q26" s="24"/>
    </row>
    <row r="27" spans="1:17" ht="15" customHeight="1" x14ac:dyDescent="0.2">
      <c r="A27" s="18"/>
      <c r="B27" s="20">
        <v>5</v>
      </c>
      <c r="C27" s="332" t="s">
        <v>126</v>
      </c>
      <c r="D27" s="275"/>
      <c r="E27" s="275"/>
      <c r="F27" s="275"/>
      <c r="G27" s="275"/>
      <c r="H27" s="275"/>
      <c r="I27" s="275"/>
      <c r="J27" s="276"/>
      <c r="K27" s="335">
        <f>DATA!K23</f>
        <v>0</v>
      </c>
      <c r="L27" s="276"/>
      <c r="M27" s="333"/>
      <c r="N27" s="275"/>
      <c r="O27" s="315"/>
      <c r="P27" s="24"/>
      <c r="Q27" s="24"/>
    </row>
    <row r="28" spans="1:17" ht="15" customHeight="1" x14ac:dyDescent="0.2">
      <c r="A28" s="18"/>
      <c r="B28" s="20">
        <v>6</v>
      </c>
      <c r="C28" s="332" t="s">
        <v>127</v>
      </c>
      <c r="D28" s="275"/>
      <c r="E28" s="275"/>
      <c r="F28" s="275"/>
      <c r="G28" s="275"/>
      <c r="H28" s="275"/>
      <c r="I28" s="275"/>
      <c r="J28" s="276"/>
      <c r="K28" s="335">
        <f>DATA!K24</f>
        <v>6575</v>
      </c>
      <c r="L28" s="276"/>
      <c r="M28" s="330"/>
      <c r="N28" s="275"/>
      <c r="O28" s="315"/>
      <c r="P28" s="24"/>
      <c r="Q28" s="24"/>
    </row>
    <row r="29" spans="1:17" ht="15" customHeight="1" x14ac:dyDescent="0.2">
      <c r="A29" s="18"/>
      <c r="B29" s="20">
        <v>7</v>
      </c>
      <c r="C29" s="332" t="s">
        <v>49</v>
      </c>
      <c r="D29" s="275"/>
      <c r="E29" s="275"/>
      <c r="F29" s="275"/>
      <c r="G29" s="275"/>
      <c r="H29" s="275"/>
      <c r="I29" s="275"/>
      <c r="J29" s="276"/>
      <c r="K29" s="335">
        <f>DATA!K25</f>
        <v>0</v>
      </c>
      <c r="L29" s="276"/>
      <c r="M29" s="333"/>
      <c r="N29" s="275"/>
      <c r="O29" s="315"/>
      <c r="P29" s="24"/>
      <c r="Q29" s="24"/>
    </row>
    <row r="30" spans="1:17" ht="15" customHeight="1" x14ac:dyDescent="0.2">
      <c r="A30" s="18"/>
      <c r="B30" s="20">
        <v>8</v>
      </c>
      <c r="C30" s="332" t="s">
        <v>51</v>
      </c>
      <c r="D30" s="275"/>
      <c r="E30" s="275"/>
      <c r="F30" s="275"/>
      <c r="G30" s="275"/>
      <c r="H30" s="275"/>
      <c r="I30" s="275"/>
      <c r="J30" s="276"/>
      <c r="K30" s="335">
        <f>DATA!K26</f>
        <v>0</v>
      </c>
      <c r="L30" s="276"/>
      <c r="M30" s="333"/>
      <c r="N30" s="275"/>
      <c r="O30" s="315"/>
      <c r="P30" s="24"/>
      <c r="Q30" s="24"/>
    </row>
    <row r="31" spans="1:17" ht="15" customHeight="1" x14ac:dyDescent="0.2">
      <c r="A31" s="18"/>
      <c r="B31" s="20">
        <v>9</v>
      </c>
      <c r="C31" s="332" t="s">
        <v>128</v>
      </c>
      <c r="D31" s="275"/>
      <c r="E31" s="275"/>
      <c r="F31" s="275"/>
      <c r="G31" s="275"/>
      <c r="H31" s="275"/>
      <c r="I31" s="275"/>
      <c r="J31" s="276"/>
      <c r="K31" s="335">
        <f>DATA!K27</f>
        <v>0</v>
      </c>
      <c r="L31" s="276"/>
      <c r="M31" s="333"/>
      <c r="N31" s="275"/>
      <c r="O31" s="315"/>
      <c r="P31" s="24"/>
      <c r="Q31" s="24"/>
    </row>
    <row r="32" spans="1:17" ht="15" customHeight="1" x14ac:dyDescent="0.2">
      <c r="A32" s="18"/>
      <c r="B32" s="20">
        <v>10</v>
      </c>
      <c r="C32" s="332" t="s">
        <v>129</v>
      </c>
      <c r="D32" s="275"/>
      <c r="E32" s="275"/>
      <c r="F32" s="275"/>
      <c r="G32" s="275"/>
      <c r="H32" s="275"/>
      <c r="I32" s="275"/>
      <c r="J32" s="276"/>
      <c r="K32" s="335">
        <f>DATA!K28</f>
        <v>0</v>
      </c>
      <c r="L32" s="276"/>
      <c r="M32" s="333"/>
      <c r="N32" s="275"/>
      <c r="O32" s="315"/>
      <c r="P32" s="24"/>
      <c r="Q32" s="24"/>
    </row>
    <row r="33" spans="1:17" ht="15" customHeight="1" x14ac:dyDescent="0.2">
      <c r="A33" s="18"/>
      <c r="B33" s="20">
        <v>11</v>
      </c>
      <c r="C33" s="332" t="s">
        <v>130</v>
      </c>
      <c r="D33" s="275"/>
      <c r="E33" s="275"/>
      <c r="F33" s="275"/>
      <c r="G33" s="275"/>
      <c r="H33" s="275"/>
      <c r="I33" s="275"/>
      <c r="J33" s="276"/>
      <c r="K33" s="335">
        <f>DATA!K29</f>
        <v>0</v>
      </c>
      <c r="L33" s="276"/>
      <c r="M33" s="333"/>
      <c r="N33" s="275"/>
      <c r="O33" s="315"/>
      <c r="P33" s="24"/>
      <c r="Q33" s="24"/>
    </row>
    <row r="34" spans="1:17" ht="15" customHeight="1" x14ac:dyDescent="0.2">
      <c r="A34" s="18"/>
      <c r="B34" s="20">
        <v>12</v>
      </c>
      <c r="C34" s="332" t="s">
        <v>131</v>
      </c>
      <c r="D34" s="275"/>
      <c r="E34" s="275"/>
      <c r="F34" s="275"/>
      <c r="G34" s="275"/>
      <c r="H34" s="275"/>
      <c r="I34" s="275"/>
      <c r="J34" s="276"/>
      <c r="K34" s="335">
        <f>DATA!K30</f>
        <v>0</v>
      </c>
      <c r="L34" s="276"/>
      <c r="M34" s="333"/>
      <c r="N34" s="275"/>
      <c r="O34" s="315"/>
      <c r="P34" s="24"/>
      <c r="Q34" s="24"/>
    </row>
    <row r="35" spans="1:17" ht="15" customHeight="1" x14ac:dyDescent="0.2">
      <c r="A35" s="18"/>
      <c r="B35" s="20">
        <v>13</v>
      </c>
      <c r="C35" s="332" t="s">
        <v>132</v>
      </c>
      <c r="D35" s="275"/>
      <c r="E35" s="275"/>
      <c r="F35" s="275"/>
      <c r="G35" s="275"/>
      <c r="H35" s="275"/>
      <c r="I35" s="275"/>
      <c r="J35" s="276"/>
      <c r="K35" s="335">
        <f>DATA!K31</f>
        <v>0</v>
      </c>
      <c r="L35" s="276"/>
      <c r="M35" s="333"/>
      <c r="N35" s="275"/>
      <c r="O35" s="315"/>
      <c r="P35" s="24"/>
      <c r="Q35" s="24"/>
    </row>
    <row r="36" spans="1:17" ht="15" customHeight="1" x14ac:dyDescent="0.2">
      <c r="A36" s="18"/>
      <c r="B36" s="20">
        <v>14</v>
      </c>
      <c r="C36" s="332" t="s">
        <v>133</v>
      </c>
      <c r="D36" s="275"/>
      <c r="E36" s="275"/>
      <c r="F36" s="275"/>
      <c r="G36" s="275"/>
      <c r="H36" s="275"/>
      <c r="I36" s="275"/>
      <c r="J36" s="276"/>
      <c r="K36" s="335">
        <f>DATA!K32</f>
        <v>0</v>
      </c>
      <c r="L36" s="276"/>
      <c r="M36" s="331"/>
      <c r="N36" s="275"/>
      <c r="O36" s="315"/>
      <c r="P36" s="24"/>
      <c r="Q36" s="24"/>
    </row>
    <row r="37" spans="1:17" ht="15" customHeight="1" x14ac:dyDescent="0.2">
      <c r="A37" s="18"/>
      <c r="B37" s="338" t="s">
        <v>193</v>
      </c>
      <c r="C37" s="275"/>
      <c r="D37" s="275"/>
      <c r="E37" s="275"/>
      <c r="F37" s="275"/>
      <c r="G37" s="275"/>
      <c r="H37" s="275"/>
      <c r="I37" s="275"/>
      <c r="J37" s="276"/>
      <c r="K37" s="335">
        <f>SUM(K23:K36)</f>
        <v>118578</v>
      </c>
      <c r="L37" s="276"/>
      <c r="M37" s="331">
        <f>IF(K37&lt;150000,K37,150000)</f>
        <v>118578</v>
      </c>
      <c r="N37" s="275"/>
      <c r="O37" s="315"/>
      <c r="P37" s="24"/>
      <c r="Q37" s="24"/>
    </row>
    <row r="38" spans="1:17" ht="15" customHeight="1" x14ac:dyDescent="0.2">
      <c r="A38" s="18">
        <v>6</v>
      </c>
      <c r="B38" s="20">
        <v>1</v>
      </c>
      <c r="C38" s="86" t="s">
        <v>135</v>
      </c>
      <c r="D38" s="87"/>
      <c r="E38" s="87"/>
      <c r="F38" s="87"/>
      <c r="G38" s="87"/>
      <c r="H38" s="87"/>
      <c r="I38" s="87"/>
      <c r="J38" s="93"/>
      <c r="K38" s="335">
        <f>DATA!O29</f>
        <v>25000</v>
      </c>
      <c r="L38" s="276"/>
      <c r="M38" s="333"/>
      <c r="N38" s="275"/>
      <c r="O38" s="315"/>
      <c r="P38" s="24"/>
      <c r="Q38" s="24"/>
    </row>
    <row r="39" spans="1:17" ht="15" customHeight="1" x14ac:dyDescent="0.2">
      <c r="A39" s="18"/>
      <c r="B39" s="20">
        <v>2</v>
      </c>
      <c r="C39" s="86" t="s">
        <v>136</v>
      </c>
      <c r="D39" s="87"/>
      <c r="E39" s="87"/>
      <c r="F39" s="87"/>
      <c r="G39" s="87"/>
      <c r="H39" s="87"/>
      <c r="I39" s="87"/>
      <c r="J39" s="93"/>
      <c r="K39" s="335">
        <f>DATA!O30</f>
        <v>0</v>
      </c>
      <c r="L39" s="276"/>
      <c r="M39" s="333"/>
      <c r="N39" s="275"/>
      <c r="O39" s="315"/>
      <c r="P39" s="24"/>
      <c r="Q39" s="24"/>
    </row>
    <row r="40" spans="1:17" ht="15" customHeight="1" x14ac:dyDescent="0.2">
      <c r="A40" s="18"/>
      <c r="B40" s="20">
        <v>3</v>
      </c>
      <c r="C40" s="86" t="s">
        <v>137</v>
      </c>
      <c r="D40" s="87"/>
      <c r="E40" s="87"/>
      <c r="F40" s="87"/>
      <c r="G40" s="87"/>
      <c r="H40" s="87"/>
      <c r="I40" s="87"/>
      <c r="J40" s="93"/>
      <c r="K40" s="335">
        <f>DATA!O31</f>
        <v>0</v>
      </c>
      <c r="L40" s="276"/>
      <c r="M40" s="333"/>
      <c r="N40" s="275"/>
      <c r="O40" s="315"/>
      <c r="P40" s="24"/>
      <c r="Q40" s="24"/>
    </row>
    <row r="41" spans="1:17" ht="15" customHeight="1" x14ac:dyDescent="0.2">
      <c r="A41" s="18"/>
      <c r="B41" s="20">
        <v>4</v>
      </c>
      <c r="C41" s="88" t="s">
        <v>194</v>
      </c>
      <c r="D41" s="89"/>
      <c r="E41" s="89"/>
      <c r="F41" s="89"/>
      <c r="G41" s="89"/>
      <c r="H41" s="89"/>
      <c r="I41" s="89"/>
      <c r="J41" s="94"/>
      <c r="K41" s="335">
        <f>DATA!O32</f>
        <v>0</v>
      </c>
      <c r="L41" s="276"/>
      <c r="M41" s="333"/>
      <c r="N41" s="275"/>
      <c r="O41" s="315"/>
      <c r="P41" s="24"/>
      <c r="Q41" s="24"/>
    </row>
    <row r="42" spans="1:17" ht="15" customHeight="1" x14ac:dyDescent="0.2">
      <c r="A42" s="18"/>
      <c r="B42" s="20">
        <v>5</v>
      </c>
      <c r="C42" s="86" t="s">
        <v>139</v>
      </c>
      <c r="D42" s="87"/>
      <c r="E42" s="87"/>
      <c r="F42" s="87"/>
      <c r="G42" s="87"/>
      <c r="H42" s="87"/>
      <c r="I42" s="87"/>
      <c r="J42" s="93"/>
      <c r="K42" s="335">
        <f>DATA!O33</f>
        <v>0</v>
      </c>
      <c r="L42" s="276"/>
      <c r="M42" s="333"/>
      <c r="N42" s="275"/>
      <c r="O42" s="315"/>
      <c r="P42" s="24"/>
      <c r="Q42" s="24"/>
    </row>
    <row r="43" spans="1:17" ht="15" customHeight="1" x14ac:dyDescent="0.2">
      <c r="A43" s="18"/>
      <c r="B43" s="20">
        <v>6</v>
      </c>
      <c r="C43" s="80" t="s">
        <v>67</v>
      </c>
      <c r="D43" s="90"/>
      <c r="E43" s="90"/>
      <c r="F43" s="90"/>
      <c r="G43" s="80"/>
      <c r="H43" s="80"/>
      <c r="I43" s="80"/>
      <c r="J43" s="85"/>
      <c r="K43" s="335">
        <f>DATA!O34</f>
        <v>0</v>
      </c>
      <c r="L43" s="276"/>
      <c r="M43" s="28"/>
      <c r="N43" s="58"/>
      <c r="O43" s="60"/>
      <c r="P43" s="24"/>
      <c r="Q43" s="24"/>
    </row>
    <row r="44" spans="1:17" ht="15" customHeight="1" x14ac:dyDescent="0.2">
      <c r="A44" s="18"/>
      <c r="B44" s="338" t="s">
        <v>140</v>
      </c>
      <c r="C44" s="275"/>
      <c r="D44" s="275"/>
      <c r="E44" s="275"/>
      <c r="F44" s="275"/>
      <c r="G44" s="275"/>
      <c r="H44" s="275"/>
      <c r="I44" s="275"/>
      <c r="J44" s="276"/>
      <c r="K44" s="335">
        <f>SUM(K38:K43)</f>
        <v>25000</v>
      </c>
      <c r="L44" s="276"/>
      <c r="M44" s="331">
        <f>K44</f>
        <v>25000</v>
      </c>
      <c r="N44" s="275"/>
      <c r="O44" s="315"/>
      <c r="P44" s="24"/>
      <c r="Q44" s="24"/>
    </row>
    <row r="45" spans="1:17" ht="15" customHeight="1" x14ac:dyDescent="0.2">
      <c r="A45" s="18">
        <v>7</v>
      </c>
      <c r="B45" s="323" t="s">
        <v>141</v>
      </c>
      <c r="C45" s="275"/>
      <c r="D45" s="275"/>
      <c r="E45" s="275"/>
      <c r="F45" s="275"/>
      <c r="G45" s="275"/>
      <c r="H45" s="275"/>
      <c r="I45" s="275"/>
      <c r="J45" s="276"/>
      <c r="K45" s="335">
        <f>ROUND(M21-(M37+K44),-1)</f>
        <v>900690</v>
      </c>
      <c r="L45" s="276"/>
      <c r="M45" s="331">
        <f>IF(K45&lt;250000,0,K45-250000)</f>
        <v>650690</v>
      </c>
      <c r="N45" s="275"/>
      <c r="O45" s="315"/>
      <c r="P45" s="24"/>
      <c r="Q45" s="24"/>
    </row>
    <row r="46" spans="1:17" ht="15" customHeight="1" x14ac:dyDescent="0.2">
      <c r="A46" s="18">
        <v>8</v>
      </c>
      <c r="B46" s="323" t="s">
        <v>142</v>
      </c>
      <c r="C46" s="275"/>
      <c r="D46" s="275"/>
      <c r="E46" s="275"/>
      <c r="F46" s="275"/>
      <c r="G46" s="275"/>
      <c r="H46" s="275"/>
      <c r="I46" s="275"/>
      <c r="J46" s="276"/>
      <c r="K46" s="335"/>
      <c r="L46" s="276"/>
      <c r="M46" s="333"/>
      <c r="N46" s="275"/>
      <c r="O46" s="315"/>
      <c r="P46" s="24"/>
      <c r="Q46" s="24"/>
    </row>
    <row r="47" spans="1:17" ht="15" customHeight="1" x14ac:dyDescent="0.2">
      <c r="A47" s="18"/>
      <c r="B47" s="20">
        <v>1</v>
      </c>
      <c r="C47" s="394" t="s">
        <v>195</v>
      </c>
      <c r="D47" s="275"/>
      <c r="E47" s="275"/>
      <c r="F47" s="275"/>
      <c r="G47" s="275"/>
      <c r="H47" s="275"/>
      <c r="I47" s="275"/>
      <c r="J47" s="276"/>
      <c r="K47" s="335">
        <f>IF(M45&lt;1,0,IF(K45&gt;500000,12500,ROUND((M45)*5%,0)))</f>
        <v>12500</v>
      </c>
      <c r="L47" s="276"/>
      <c r="M47" s="333"/>
      <c r="N47" s="275"/>
      <c r="O47" s="315"/>
      <c r="P47" s="24"/>
      <c r="Q47" s="24"/>
    </row>
    <row r="48" spans="1:17" ht="15" customHeight="1" x14ac:dyDescent="0.2">
      <c r="A48" s="18"/>
      <c r="B48" s="20">
        <v>2</v>
      </c>
      <c r="C48" s="394" t="s">
        <v>196</v>
      </c>
      <c r="D48" s="275"/>
      <c r="E48" s="275"/>
      <c r="F48" s="275"/>
      <c r="G48" s="275"/>
      <c r="H48" s="275"/>
      <c r="I48" s="275"/>
      <c r="J48" s="276"/>
      <c r="K48" s="335">
        <f>IF(K45&lt;500001,0,IF(K45&gt;1000000,100000,ROUND((K45-500001)*20%,0)))</f>
        <v>80138</v>
      </c>
      <c r="L48" s="276"/>
      <c r="M48" s="333"/>
      <c r="N48" s="275"/>
      <c r="O48" s="315"/>
      <c r="P48" s="24"/>
      <c r="Q48" s="24"/>
    </row>
    <row r="49" spans="1:17" ht="15" customHeight="1" x14ac:dyDescent="0.2">
      <c r="A49" s="19"/>
      <c r="B49" s="20">
        <v>3</v>
      </c>
      <c r="C49" s="394" t="s">
        <v>197</v>
      </c>
      <c r="D49" s="275"/>
      <c r="E49" s="275"/>
      <c r="F49" s="275"/>
      <c r="G49" s="275"/>
      <c r="H49" s="275"/>
      <c r="I49" s="275"/>
      <c r="J49" s="276"/>
      <c r="K49" s="335">
        <f>IF(K45&lt;1000001,0,IF(K45&gt;1000000,ROUND((K45-1000001)*30%,0)))</f>
        <v>0</v>
      </c>
      <c r="L49" s="276"/>
      <c r="M49" s="333"/>
      <c r="N49" s="275"/>
      <c r="O49" s="315"/>
      <c r="P49" s="24"/>
      <c r="Q49" s="24"/>
    </row>
    <row r="50" spans="1:17" ht="15" customHeight="1" x14ac:dyDescent="0.2">
      <c r="A50" s="18"/>
      <c r="B50" s="338" t="s">
        <v>198</v>
      </c>
      <c r="C50" s="275"/>
      <c r="D50" s="275"/>
      <c r="E50" s="275"/>
      <c r="F50" s="275"/>
      <c r="G50" s="275"/>
      <c r="H50" s="275"/>
      <c r="I50" s="275"/>
      <c r="J50" s="276"/>
      <c r="K50" s="335">
        <f>SUM(K47:K49)</f>
        <v>92638</v>
      </c>
      <c r="L50" s="276"/>
      <c r="M50" s="331">
        <f t="shared" ref="M50:M52" si="0">K50</f>
        <v>92638</v>
      </c>
      <c r="N50" s="275"/>
      <c r="O50" s="315"/>
      <c r="P50" s="24"/>
      <c r="Q50" s="24"/>
    </row>
    <row r="51" spans="1:17" ht="15" customHeight="1" x14ac:dyDescent="0.2">
      <c r="A51" s="18">
        <v>9</v>
      </c>
      <c r="B51" s="332" t="s">
        <v>199</v>
      </c>
      <c r="C51" s="275"/>
      <c r="D51" s="275"/>
      <c r="E51" s="275"/>
      <c r="F51" s="275"/>
      <c r="G51" s="275"/>
      <c r="H51" s="275"/>
      <c r="I51" s="275"/>
      <c r="J51" s="276"/>
      <c r="K51" s="335">
        <f>IF(K45&lt;500000,K47,0)</f>
        <v>0</v>
      </c>
      <c r="L51" s="276"/>
      <c r="M51" s="331">
        <f t="shared" si="0"/>
        <v>0</v>
      </c>
      <c r="N51" s="275"/>
      <c r="O51" s="315"/>
      <c r="P51" s="24"/>
      <c r="Q51" s="24"/>
    </row>
    <row r="52" spans="1:17" ht="15" customHeight="1" x14ac:dyDescent="0.2">
      <c r="A52" s="18">
        <v>10</v>
      </c>
      <c r="B52" s="323" t="s">
        <v>145</v>
      </c>
      <c r="C52" s="275"/>
      <c r="D52" s="275"/>
      <c r="E52" s="275"/>
      <c r="F52" s="275"/>
      <c r="G52" s="275"/>
      <c r="H52" s="275"/>
      <c r="I52" s="275"/>
      <c r="J52" s="276"/>
      <c r="K52" s="335">
        <f>M50-M51</f>
        <v>92638</v>
      </c>
      <c r="L52" s="276"/>
      <c r="M52" s="331">
        <f t="shared" si="0"/>
        <v>92638</v>
      </c>
      <c r="N52" s="275"/>
      <c r="O52" s="315"/>
      <c r="P52" s="24"/>
      <c r="Q52" s="24"/>
    </row>
    <row r="53" spans="1:17" ht="15" customHeight="1" x14ac:dyDescent="0.2">
      <c r="A53" s="18">
        <v>11</v>
      </c>
      <c r="B53" s="332" t="s">
        <v>146</v>
      </c>
      <c r="C53" s="275"/>
      <c r="D53" s="275"/>
      <c r="E53" s="275"/>
      <c r="F53" s="275"/>
      <c r="G53" s="275"/>
      <c r="H53" s="275"/>
      <c r="I53" s="275"/>
      <c r="J53" s="276"/>
      <c r="K53" s="335">
        <f>ROUND((M52*0.04),0)</f>
        <v>3706</v>
      </c>
      <c r="L53" s="276"/>
      <c r="M53" s="331"/>
      <c r="N53" s="275"/>
      <c r="O53" s="315"/>
      <c r="P53" s="24"/>
      <c r="Q53" s="24"/>
    </row>
    <row r="54" spans="1:17" ht="15" customHeight="1" x14ac:dyDescent="0.2">
      <c r="A54" s="18">
        <v>12</v>
      </c>
      <c r="B54" s="338" t="s">
        <v>147</v>
      </c>
      <c r="C54" s="275"/>
      <c r="D54" s="275"/>
      <c r="E54" s="275"/>
      <c r="F54" s="275"/>
      <c r="G54" s="275"/>
      <c r="H54" s="275"/>
      <c r="I54" s="275"/>
      <c r="J54" s="276"/>
      <c r="K54" s="335">
        <f>SUM(K52:K53)</f>
        <v>96344</v>
      </c>
      <c r="L54" s="276"/>
      <c r="M54" s="331">
        <f>ROUNDUP(K54,0-1)</f>
        <v>96350</v>
      </c>
      <c r="N54" s="275"/>
      <c r="O54" s="315"/>
      <c r="P54" s="24"/>
      <c r="Q54" s="24"/>
    </row>
    <row r="55" spans="1:17" ht="15" customHeight="1" x14ac:dyDescent="0.2">
      <c r="A55" s="18">
        <v>13</v>
      </c>
      <c r="B55" s="350" t="s">
        <v>148</v>
      </c>
      <c r="C55" s="275"/>
      <c r="D55" s="275"/>
      <c r="E55" s="275"/>
      <c r="F55" s="275"/>
      <c r="G55" s="275"/>
      <c r="H55" s="275"/>
      <c r="I55" s="275"/>
      <c r="J55" s="276"/>
      <c r="K55" s="335">
        <f>DATA!O35</f>
        <v>0</v>
      </c>
      <c r="L55" s="276"/>
      <c r="M55" s="331">
        <f>K55</f>
        <v>0</v>
      </c>
      <c r="N55" s="275"/>
      <c r="O55" s="315"/>
      <c r="P55" s="24"/>
      <c r="Q55" s="24"/>
    </row>
    <row r="56" spans="1:17" ht="15" customHeight="1" x14ac:dyDescent="0.2">
      <c r="A56" s="18">
        <v>14</v>
      </c>
      <c r="B56" s="351" t="s">
        <v>149</v>
      </c>
      <c r="C56" s="275"/>
      <c r="D56" s="275"/>
      <c r="E56" s="275"/>
      <c r="F56" s="352"/>
      <c r="G56" s="275"/>
      <c r="H56" s="275"/>
      <c r="I56" s="275"/>
      <c r="J56" s="95"/>
      <c r="K56" s="335"/>
      <c r="L56" s="276"/>
      <c r="M56" s="331">
        <f>M54-M55</f>
        <v>96350</v>
      </c>
      <c r="N56" s="275"/>
      <c r="O56" s="315"/>
      <c r="P56" s="24"/>
      <c r="Q56" s="24"/>
    </row>
    <row r="57" spans="1:17" ht="15" customHeight="1" x14ac:dyDescent="0.2">
      <c r="A57" s="18">
        <v>15</v>
      </c>
      <c r="B57" s="350" t="s">
        <v>251</v>
      </c>
      <c r="C57" s="275"/>
      <c r="D57" s="275"/>
      <c r="E57" s="275"/>
      <c r="F57" s="275"/>
      <c r="G57" s="275"/>
      <c r="H57" s="275"/>
      <c r="I57" s="275"/>
      <c r="J57" s="276"/>
      <c r="K57" s="335">
        <f>N69+N70+N71+N72+N73+N74+N75+N76+N77</f>
        <v>0</v>
      </c>
      <c r="L57" s="276"/>
      <c r="M57" s="333"/>
      <c r="N57" s="275"/>
      <c r="O57" s="315"/>
      <c r="P57" s="24"/>
      <c r="Q57" s="24"/>
    </row>
    <row r="58" spans="1:17" ht="15" customHeight="1" x14ac:dyDescent="0.2">
      <c r="A58" s="18">
        <v>16</v>
      </c>
      <c r="B58" s="350" t="s">
        <v>252</v>
      </c>
      <c r="C58" s="275"/>
      <c r="D58" s="275"/>
      <c r="E58" s="275"/>
      <c r="F58" s="275"/>
      <c r="G58" s="275"/>
      <c r="H58" s="275"/>
      <c r="I58" s="275"/>
      <c r="J58" s="276"/>
      <c r="K58" s="335">
        <f>IF(M56&lt;K57,0,ROUND((M56-K57)/3,-2))</f>
        <v>32100</v>
      </c>
      <c r="L58" s="276"/>
      <c r="M58" s="333"/>
      <c r="N58" s="275"/>
      <c r="O58" s="315"/>
      <c r="P58" s="24"/>
      <c r="Q58" s="24"/>
    </row>
    <row r="59" spans="1:17" ht="15" customHeight="1" x14ac:dyDescent="0.2">
      <c r="A59" s="18">
        <v>17</v>
      </c>
      <c r="B59" s="350" t="s">
        <v>253</v>
      </c>
      <c r="C59" s="275"/>
      <c r="D59" s="275"/>
      <c r="E59" s="275"/>
      <c r="F59" s="275"/>
      <c r="G59" s="275"/>
      <c r="H59" s="275"/>
      <c r="I59" s="275"/>
      <c r="J59" s="276"/>
      <c r="K59" s="335">
        <f>IF(M56&lt;K57,0,ROUND((M56-K57)/3,-2))</f>
        <v>32100</v>
      </c>
      <c r="L59" s="276"/>
      <c r="M59" s="333"/>
      <c r="N59" s="275"/>
      <c r="O59" s="315"/>
      <c r="P59" s="24"/>
      <c r="Q59" s="24"/>
    </row>
    <row r="60" spans="1:17" ht="15" customHeight="1" x14ac:dyDescent="0.2">
      <c r="A60" s="18">
        <v>18</v>
      </c>
      <c r="B60" s="350" t="s">
        <v>254</v>
      </c>
      <c r="C60" s="275"/>
      <c r="D60" s="275"/>
      <c r="E60" s="275"/>
      <c r="F60" s="275"/>
      <c r="G60" s="275"/>
      <c r="H60" s="275"/>
      <c r="I60" s="275"/>
      <c r="J60" s="276"/>
      <c r="K60" s="335">
        <f>IF(M56&lt;K57,0,(M56-(K57+K58+K59)))</f>
        <v>32150</v>
      </c>
      <c r="L60" s="276"/>
      <c r="M60" s="333"/>
      <c r="N60" s="275"/>
      <c r="O60" s="315"/>
      <c r="P60" s="24"/>
      <c r="Q60" s="24"/>
    </row>
    <row r="61" spans="1:17" ht="15" customHeight="1" x14ac:dyDescent="0.2">
      <c r="A61" s="91"/>
      <c r="B61" s="353" t="s">
        <v>154</v>
      </c>
      <c r="C61" s="293"/>
      <c r="D61" s="293"/>
      <c r="E61" s="293"/>
      <c r="F61" s="293"/>
      <c r="G61" s="293"/>
      <c r="H61" s="293"/>
      <c r="I61" s="293"/>
      <c r="J61" s="291"/>
      <c r="K61" s="354">
        <f>SUM(K57:K60)</f>
        <v>96350</v>
      </c>
      <c r="L61" s="291"/>
      <c r="M61" s="355">
        <f>K61</f>
        <v>96350</v>
      </c>
      <c r="N61" s="293"/>
      <c r="O61" s="356"/>
      <c r="P61" s="24"/>
      <c r="Q61" s="24"/>
    </row>
    <row r="62" spans="1:17" ht="15" customHeight="1" x14ac:dyDescent="0.2">
      <c r="A62" s="18">
        <v>19</v>
      </c>
      <c r="B62" s="357" t="s">
        <v>155</v>
      </c>
      <c r="C62" s="275"/>
      <c r="D62" s="275"/>
      <c r="E62" s="275"/>
      <c r="F62" s="275"/>
      <c r="G62" s="275"/>
      <c r="H62" s="275"/>
      <c r="I62" s="275"/>
      <c r="J62" s="276"/>
      <c r="K62" s="358">
        <f>IF(M61&lt;M56,0,M61-M56)</f>
        <v>0</v>
      </c>
      <c r="L62" s="276"/>
      <c r="M62" s="335"/>
      <c r="N62" s="275"/>
      <c r="O62" s="315"/>
      <c r="P62" s="24"/>
      <c r="Q62" s="24"/>
    </row>
    <row r="63" spans="1:17" ht="14.25" customHeight="1" x14ac:dyDescent="0.2">
      <c r="A63" s="374" t="s">
        <v>156</v>
      </c>
      <c r="B63" s="362"/>
      <c r="C63" s="362"/>
      <c r="D63" s="362"/>
      <c r="E63" s="362"/>
      <c r="F63" s="362"/>
      <c r="G63" s="362"/>
      <c r="H63" s="362"/>
      <c r="I63" s="362"/>
      <c r="J63" s="362"/>
      <c r="K63" s="362"/>
      <c r="L63" s="362"/>
      <c r="M63" s="362"/>
      <c r="N63" s="362"/>
      <c r="O63" s="362"/>
      <c r="P63" s="24"/>
      <c r="Q63" s="24"/>
    </row>
    <row r="64" spans="1:17" ht="14.25" customHeight="1" x14ac:dyDescent="0.2">
      <c r="A64" s="361" t="s">
        <v>157</v>
      </c>
      <c r="B64" s="362"/>
      <c r="C64" s="363" t="str">
        <f>DATA!E6</f>
        <v xml:space="preserve">KADJODARA </v>
      </c>
      <c r="D64" s="362"/>
      <c r="E64" s="362"/>
      <c r="F64" s="39"/>
      <c r="G64" s="39"/>
      <c r="H64" s="39"/>
      <c r="I64" s="39"/>
      <c r="J64" s="39"/>
      <c r="K64" s="361"/>
      <c r="L64" s="362"/>
      <c r="M64" s="362"/>
      <c r="N64" s="362"/>
      <c r="O64" s="362"/>
      <c r="P64" s="24"/>
      <c r="Q64" s="24"/>
    </row>
    <row r="65" spans="1:17" ht="14.25" customHeight="1" x14ac:dyDescent="0.2">
      <c r="A65" s="361" t="s">
        <v>158</v>
      </c>
      <c r="B65" s="362"/>
      <c r="C65" s="364">
        <f ca="1">TODAY()</f>
        <v>46000</v>
      </c>
      <c r="D65" s="362"/>
      <c r="E65" s="40" t="s">
        <v>159</v>
      </c>
      <c r="F65" s="363" t="s">
        <v>160</v>
      </c>
      <c r="G65" s="362"/>
      <c r="H65" s="362"/>
      <c r="I65" s="362"/>
      <c r="J65" s="39"/>
      <c r="K65" s="361" t="s">
        <v>161</v>
      </c>
      <c r="L65" s="362"/>
      <c r="M65" s="362"/>
      <c r="N65" s="362"/>
      <c r="O65" s="362"/>
      <c r="P65" s="24"/>
      <c r="Q65" s="24"/>
    </row>
    <row r="66" spans="1:17" ht="22.5" customHeight="1" x14ac:dyDescent="0.2">
      <c r="A66" s="365" t="s">
        <v>162</v>
      </c>
      <c r="B66" s="362"/>
      <c r="C66" s="362"/>
      <c r="D66" s="362"/>
      <c r="E66" s="362"/>
      <c r="F66" s="362"/>
      <c r="G66" s="362"/>
      <c r="H66" s="362"/>
      <c r="I66" s="362"/>
      <c r="J66" s="362"/>
      <c r="K66" s="362"/>
      <c r="L66" s="362"/>
      <c r="M66" s="362"/>
      <c r="N66" s="362"/>
      <c r="O66" s="362"/>
      <c r="P66" s="24"/>
      <c r="Q66" s="24"/>
    </row>
    <row r="67" spans="1:17" ht="20.25" customHeight="1" x14ac:dyDescent="0.2">
      <c r="A67" s="398" t="s">
        <v>163</v>
      </c>
      <c r="B67" s="291"/>
      <c r="C67" s="397" t="s">
        <v>164</v>
      </c>
      <c r="D67" s="395" t="s">
        <v>165</v>
      </c>
      <c r="E67" s="275"/>
      <c r="F67" s="275"/>
      <c r="G67" s="275"/>
      <c r="H67" s="275"/>
      <c r="I67" s="275"/>
      <c r="J67" s="275"/>
      <c r="K67" s="275"/>
      <c r="L67" s="275"/>
      <c r="M67" s="275"/>
      <c r="N67" s="275"/>
      <c r="O67" s="276"/>
      <c r="P67" s="24"/>
      <c r="Q67" s="24"/>
    </row>
    <row r="68" spans="1:17" ht="29.25" customHeight="1" x14ac:dyDescent="0.2">
      <c r="A68" s="286"/>
      <c r="B68" s="292"/>
      <c r="C68" s="283"/>
      <c r="D68" s="41" t="s">
        <v>166</v>
      </c>
      <c r="E68" s="42" t="s">
        <v>167</v>
      </c>
      <c r="F68" s="313" t="s">
        <v>168</v>
      </c>
      <c r="G68" s="276"/>
      <c r="H68" s="313" t="s">
        <v>74</v>
      </c>
      <c r="I68" s="276"/>
      <c r="J68" s="313" t="s">
        <v>169</v>
      </c>
      <c r="K68" s="276"/>
      <c r="L68" s="313" t="s">
        <v>170</v>
      </c>
      <c r="M68" s="276"/>
      <c r="N68" s="313" t="s">
        <v>171</v>
      </c>
      <c r="O68" s="276"/>
      <c r="P68" s="24"/>
      <c r="Q68" s="24"/>
    </row>
    <row r="69" spans="1:17" ht="21.75" customHeight="1" x14ac:dyDescent="0.2">
      <c r="A69" s="332" t="str">
        <f>DATA!B26</f>
        <v>માર્ચ - 2025</v>
      </c>
      <c r="B69" s="276"/>
      <c r="C69" s="43">
        <f>PAGAR!M5</f>
        <v>87296</v>
      </c>
      <c r="D69" s="44">
        <v>0</v>
      </c>
      <c r="E69" s="45">
        <f>PAGAR!N5</f>
        <v>0</v>
      </c>
      <c r="F69" s="330">
        <f>PAGAR!Q5</f>
        <v>8201</v>
      </c>
      <c r="G69" s="276"/>
      <c r="H69" s="330">
        <f>PAGAR!P5</f>
        <v>200</v>
      </c>
      <c r="I69" s="276"/>
      <c r="J69" s="330">
        <f>DATA!E26</f>
        <v>800</v>
      </c>
      <c r="K69" s="276"/>
      <c r="L69" s="330">
        <f>PAGAR!S5</f>
        <v>6575</v>
      </c>
      <c r="M69" s="276"/>
      <c r="N69" s="330">
        <f>PAGAR!R5</f>
        <v>0</v>
      </c>
      <c r="O69" s="276"/>
      <c r="P69" s="24"/>
      <c r="Q69" s="24"/>
    </row>
    <row r="70" spans="1:17" ht="21.75" customHeight="1" x14ac:dyDescent="0.2">
      <c r="A70" s="332" t="str">
        <f>DATA!B27</f>
        <v>એપ્રિલ - 2025</v>
      </c>
      <c r="B70" s="276"/>
      <c r="C70" s="43">
        <f>PAGAR!M6</f>
        <v>88368</v>
      </c>
      <c r="D70" s="44">
        <v>0</v>
      </c>
      <c r="E70" s="45">
        <f>PAGAR!N6</f>
        <v>0</v>
      </c>
      <c r="F70" s="330">
        <f>PAGAR!Q6</f>
        <v>8308</v>
      </c>
      <c r="G70" s="276"/>
      <c r="H70" s="330">
        <f>PAGAR!P6</f>
        <v>200</v>
      </c>
      <c r="I70" s="276"/>
      <c r="J70" s="330">
        <f>DATA!E27</f>
        <v>800</v>
      </c>
      <c r="K70" s="276"/>
      <c r="L70" s="330">
        <f>PAGAR!S6</f>
        <v>6575</v>
      </c>
      <c r="M70" s="276"/>
      <c r="N70" s="330">
        <f>PAGAR!R6</f>
        <v>0</v>
      </c>
      <c r="O70" s="276"/>
      <c r="P70" s="24"/>
      <c r="Q70" s="24"/>
    </row>
    <row r="71" spans="1:17" ht="21.75" customHeight="1" x14ac:dyDescent="0.2">
      <c r="A71" s="332" t="str">
        <f>DATA!B28</f>
        <v>મે - 2025</v>
      </c>
      <c r="B71" s="276"/>
      <c r="C71" s="43">
        <f>PAGAR!M7</f>
        <v>88368</v>
      </c>
      <c r="D71" s="44">
        <v>0</v>
      </c>
      <c r="E71" s="45">
        <f>PAGAR!N7</f>
        <v>0</v>
      </c>
      <c r="F71" s="330">
        <f>PAGAR!Q7</f>
        <v>8308</v>
      </c>
      <c r="G71" s="276"/>
      <c r="H71" s="330">
        <f>PAGAR!P7</f>
        <v>200</v>
      </c>
      <c r="I71" s="276"/>
      <c r="J71" s="330">
        <f>DATA!E28</f>
        <v>800</v>
      </c>
      <c r="K71" s="276"/>
      <c r="L71" s="330">
        <f>PAGAR!S7</f>
        <v>6575</v>
      </c>
      <c r="M71" s="276"/>
      <c r="N71" s="330">
        <f>PAGAR!R7</f>
        <v>0</v>
      </c>
      <c r="O71" s="276"/>
      <c r="P71" s="24"/>
      <c r="Q71" s="24"/>
    </row>
    <row r="72" spans="1:17" ht="21.75" customHeight="1" x14ac:dyDescent="0.2">
      <c r="A72" s="332" t="str">
        <f>DATA!B29</f>
        <v>જૂન - 2025</v>
      </c>
      <c r="B72" s="276"/>
      <c r="C72" s="43">
        <f>PAGAR!M8</f>
        <v>88368</v>
      </c>
      <c r="D72" s="44">
        <v>0</v>
      </c>
      <c r="E72" s="45">
        <f>PAGAR!N8</f>
        <v>0</v>
      </c>
      <c r="F72" s="330">
        <f>PAGAR!Q8</f>
        <v>8308</v>
      </c>
      <c r="G72" s="276"/>
      <c r="H72" s="330">
        <f>PAGAR!P8</f>
        <v>200</v>
      </c>
      <c r="I72" s="276"/>
      <c r="J72" s="330">
        <f>DATA!E29</f>
        <v>800</v>
      </c>
      <c r="K72" s="276"/>
      <c r="L72" s="330">
        <f>PAGAR!S8</f>
        <v>6575</v>
      </c>
      <c r="M72" s="276"/>
      <c r="N72" s="330">
        <f>PAGAR!R8</f>
        <v>0</v>
      </c>
      <c r="O72" s="276"/>
      <c r="P72" s="24"/>
      <c r="Q72" s="24"/>
    </row>
    <row r="73" spans="1:17" ht="21.75" customHeight="1" x14ac:dyDescent="0.2">
      <c r="A73" s="332" t="str">
        <f>DATA!B30</f>
        <v>જુલાઈ - 2025</v>
      </c>
      <c r="B73" s="276"/>
      <c r="C73" s="43">
        <f>PAGAR!M9</f>
        <v>90976</v>
      </c>
      <c r="D73" s="44">
        <v>0</v>
      </c>
      <c r="E73" s="45">
        <f>PAGAR!N9</f>
        <v>0</v>
      </c>
      <c r="F73" s="330">
        <f>PAGAR!Q9</f>
        <v>8556</v>
      </c>
      <c r="G73" s="276"/>
      <c r="H73" s="330">
        <f>PAGAR!P9</f>
        <v>200</v>
      </c>
      <c r="I73" s="276"/>
      <c r="J73" s="330">
        <f>DATA!E30</f>
        <v>800</v>
      </c>
      <c r="K73" s="276"/>
      <c r="L73" s="330">
        <f>PAGAR!S9</f>
        <v>6575</v>
      </c>
      <c r="M73" s="276"/>
      <c r="N73" s="330">
        <f>PAGAR!R9</f>
        <v>0</v>
      </c>
      <c r="O73" s="276"/>
      <c r="P73" s="24"/>
      <c r="Q73" s="24"/>
    </row>
    <row r="74" spans="1:17" ht="21.75" customHeight="1" x14ac:dyDescent="0.2">
      <c r="A74" s="332" t="str">
        <f>DATA!B31</f>
        <v>ઓગષ્ટ - 2025</v>
      </c>
      <c r="B74" s="276"/>
      <c r="C74" s="43">
        <f>PAGAR!M10</f>
        <v>90976</v>
      </c>
      <c r="D74" s="44">
        <v>0</v>
      </c>
      <c r="E74" s="45">
        <f>PAGAR!N10</f>
        <v>0</v>
      </c>
      <c r="F74" s="330">
        <f>PAGAR!Q10</f>
        <v>8556</v>
      </c>
      <c r="G74" s="276"/>
      <c r="H74" s="330">
        <f>PAGAR!P10</f>
        <v>200</v>
      </c>
      <c r="I74" s="276"/>
      <c r="J74" s="330">
        <f>DATA!E31</f>
        <v>800</v>
      </c>
      <c r="K74" s="276"/>
      <c r="L74" s="330">
        <f>PAGAR!S10</f>
        <v>6575</v>
      </c>
      <c r="M74" s="276"/>
      <c r="N74" s="330">
        <f>PAGAR!R10</f>
        <v>0</v>
      </c>
      <c r="O74" s="276"/>
      <c r="P74" s="24"/>
      <c r="Q74" s="24"/>
    </row>
    <row r="75" spans="1:17" ht="21.75" customHeight="1" x14ac:dyDescent="0.2">
      <c r="A75" s="332" t="str">
        <f>DATA!B32</f>
        <v>સપ્ટે. - 2025</v>
      </c>
      <c r="B75" s="276"/>
      <c r="C75" s="43">
        <f>PAGAR!M11</f>
        <v>90976</v>
      </c>
      <c r="D75" s="44">
        <v>0</v>
      </c>
      <c r="E75" s="45">
        <f>PAGAR!N11</f>
        <v>0</v>
      </c>
      <c r="F75" s="330">
        <f>PAGAR!Q11</f>
        <v>8556</v>
      </c>
      <c r="G75" s="276"/>
      <c r="H75" s="330">
        <f>PAGAR!P11</f>
        <v>200</v>
      </c>
      <c r="I75" s="276"/>
      <c r="J75" s="330">
        <f>DATA!E32</f>
        <v>800</v>
      </c>
      <c r="K75" s="276"/>
      <c r="L75" s="330">
        <f>PAGAR!S11</f>
        <v>6575</v>
      </c>
      <c r="M75" s="276"/>
      <c r="N75" s="330">
        <f>PAGAR!R11</f>
        <v>0</v>
      </c>
      <c r="O75" s="276"/>
      <c r="P75" s="24"/>
      <c r="Q75" s="24"/>
    </row>
    <row r="76" spans="1:17" ht="21.75" customHeight="1" x14ac:dyDescent="0.2">
      <c r="A76" s="332" t="str">
        <f>DATA!B33</f>
        <v>ઓકટો.- 2025</v>
      </c>
      <c r="B76" s="276"/>
      <c r="C76" s="43">
        <f>PAGAR!M12</f>
        <v>92632</v>
      </c>
      <c r="D76" s="44">
        <v>0</v>
      </c>
      <c r="E76" s="45">
        <f>PAGAR!N12</f>
        <v>0</v>
      </c>
      <c r="F76" s="330">
        <f>PAGAR!Q12</f>
        <v>8722</v>
      </c>
      <c r="G76" s="276"/>
      <c r="H76" s="330">
        <f>PAGAR!P12</f>
        <v>200</v>
      </c>
      <c r="I76" s="276"/>
      <c r="J76" s="330">
        <f>DATA!E33</f>
        <v>800</v>
      </c>
      <c r="K76" s="276"/>
      <c r="L76" s="330">
        <f>PAGAR!S12</f>
        <v>6575</v>
      </c>
      <c r="M76" s="276"/>
      <c r="N76" s="330">
        <f>PAGAR!R12</f>
        <v>0</v>
      </c>
      <c r="O76" s="276"/>
      <c r="P76" s="24"/>
      <c r="Q76" s="24"/>
    </row>
    <row r="77" spans="1:17" ht="21.75" customHeight="1" x14ac:dyDescent="0.2">
      <c r="A77" s="332" t="str">
        <f>DATA!B34</f>
        <v>નવે. - 2025</v>
      </c>
      <c r="B77" s="276"/>
      <c r="C77" s="43">
        <f>PAGAR!M13</f>
        <v>92632</v>
      </c>
      <c r="D77" s="44">
        <v>0</v>
      </c>
      <c r="E77" s="45">
        <f>PAGAR!N13</f>
        <v>0</v>
      </c>
      <c r="F77" s="330">
        <f>PAGAR!Q13</f>
        <v>8722</v>
      </c>
      <c r="G77" s="276"/>
      <c r="H77" s="330">
        <f>PAGAR!P13</f>
        <v>200</v>
      </c>
      <c r="I77" s="276"/>
      <c r="J77" s="330">
        <f>DATA!E34</f>
        <v>800</v>
      </c>
      <c r="K77" s="276"/>
      <c r="L77" s="330">
        <f>PAGAR!S13</f>
        <v>6575</v>
      </c>
      <c r="M77" s="276"/>
      <c r="N77" s="330">
        <f>PAGAR!R13</f>
        <v>0</v>
      </c>
      <c r="O77" s="276"/>
      <c r="P77" s="24"/>
      <c r="Q77" s="24"/>
    </row>
    <row r="78" spans="1:17" ht="21.75" customHeight="1" x14ac:dyDescent="0.2">
      <c r="A78" s="332" t="str">
        <f>DATA!B35</f>
        <v>ડિસે. - 2025</v>
      </c>
      <c r="B78" s="276"/>
      <c r="C78" s="43">
        <f>PAGAR!M14</f>
        <v>92632</v>
      </c>
      <c r="D78" s="44">
        <v>0</v>
      </c>
      <c r="E78" s="45">
        <f>PAGAR!N14</f>
        <v>0</v>
      </c>
      <c r="F78" s="330">
        <f>PAGAR!Q14</f>
        <v>8722</v>
      </c>
      <c r="G78" s="276"/>
      <c r="H78" s="330">
        <f>PAGAR!P14</f>
        <v>200</v>
      </c>
      <c r="I78" s="276"/>
      <c r="J78" s="330">
        <f>DATA!E35</f>
        <v>800</v>
      </c>
      <c r="K78" s="276"/>
      <c r="L78" s="330">
        <f>PAGAR!S14</f>
        <v>6575</v>
      </c>
      <c r="M78" s="276"/>
      <c r="N78" s="330">
        <f t="shared" ref="N78:N80" si="1">K58</f>
        <v>32100</v>
      </c>
      <c r="O78" s="276"/>
      <c r="P78" s="24"/>
      <c r="Q78" s="24"/>
    </row>
    <row r="79" spans="1:17" ht="21.75" customHeight="1" x14ac:dyDescent="0.2">
      <c r="A79" s="332" t="str">
        <f>DATA!B36</f>
        <v>જાન્યુ. - 2026</v>
      </c>
      <c r="B79" s="276"/>
      <c r="C79" s="43">
        <f>PAGAR!M15</f>
        <v>92632</v>
      </c>
      <c r="D79" s="44">
        <v>0</v>
      </c>
      <c r="E79" s="45">
        <f>PAGAR!N15</f>
        <v>0</v>
      </c>
      <c r="F79" s="330">
        <f>PAGAR!Q15</f>
        <v>8722</v>
      </c>
      <c r="G79" s="276"/>
      <c r="H79" s="330">
        <f>PAGAR!P15</f>
        <v>200</v>
      </c>
      <c r="I79" s="276"/>
      <c r="J79" s="330">
        <f>DATA!E36</f>
        <v>800</v>
      </c>
      <c r="K79" s="276"/>
      <c r="L79" s="330">
        <f>PAGAR!S15</f>
        <v>6575</v>
      </c>
      <c r="M79" s="276"/>
      <c r="N79" s="330">
        <f t="shared" si="1"/>
        <v>32100</v>
      </c>
      <c r="O79" s="276"/>
      <c r="P79" s="24"/>
      <c r="Q79" s="24"/>
    </row>
    <row r="80" spans="1:17" ht="21.75" customHeight="1" x14ac:dyDescent="0.2">
      <c r="A80" s="332" t="str">
        <f>DATA!B37</f>
        <v>ફેબ્રુ. -2026</v>
      </c>
      <c r="B80" s="276"/>
      <c r="C80" s="43">
        <f>PAGAR!M16</f>
        <v>92632</v>
      </c>
      <c r="D80" s="44">
        <v>0</v>
      </c>
      <c r="E80" s="45">
        <f>PAGAR!N16</f>
        <v>0</v>
      </c>
      <c r="F80" s="330">
        <f>PAGAR!Q16</f>
        <v>8722</v>
      </c>
      <c r="G80" s="276"/>
      <c r="H80" s="330">
        <f>PAGAR!P16</f>
        <v>200</v>
      </c>
      <c r="I80" s="276"/>
      <c r="J80" s="330">
        <f>DATA!E37</f>
        <v>800</v>
      </c>
      <c r="K80" s="276"/>
      <c r="L80" s="330">
        <f>PAGAR!S16</f>
        <v>6575</v>
      </c>
      <c r="M80" s="276"/>
      <c r="N80" s="330">
        <f t="shared" si="1"/>
        <v>32150</v>
      </c>
      <c r="O80" s="276"/>
      <c r="P80" s="24"/>
      <c r="Q80" s="24"/>
    </row>
    <row r="81" spans="1:17" ht="21.75" customHeight="1" x14ac:dyDescent="0.2">
      <c r="A81" s="368" t="str">
        <f>DATA!B16</f>
        <v>મોં.પુરવણી 1/01/2025 થી 31/03/2025</v>
      </c>
      <c r="B81" s="276"/>
      <c r="C81" s="47">
        <f>DATA!E16</f>
        <v>3216</v>
      </c>
      <c r="D81" s="48"/>
      <c r="E81" s="49"/>
      <c r="F81" s="330"/>
      <c r="G81" s="276"/>
      <c r="H81" s="330"/>
      <c r="I81" s="276"/>
      <c r="J81" s="330"/>
      <c r="K81" s="276"/>
      <c r="L81" s="330"/>
      <c r="M81" s="276"/>
      <c r="N81" s="330"/>
      <c r="O81" s="276"/>
      <c r="P81" s="24"/>
      <c r="Q81" s="24"/>
    </row>
    <row r="82" spans="1:17" ht="21.75" customHeight="1" x14ac:dyDescent="0.2">
      <c r="A82" s="368" t="str">
        <f>DATA!B17</f>
        <v>મોં.પુરવણી 1/07/2025 થી 30/09/2025</v>
      </c>
      <c r="B82" s="276"/>
      <c r="C82" s="47">
        <f>DATA!E17</f>
        <v>4968</v>
      </c>
      <c r="D82" s="48"/>
      <c r="E82" s="49"/>
      <c r="F82" s="330"/>
      <c r="G82" s="276"/>
      <c r="H82" s="330"/>
      <c r="I82" s="276"/>
      <c r="J82" s="330"/>
      <c r="K82" s="276"/>
      <c r="L82" s="330"/>
      <c r="M82" s="276"/>
      <c r="N82" s="330"/>
      <c r="O82" s="276"/>
      <c r="P82" s="24"/>
      <c r="Q82" s="24"/>
    </row>
    <row r="83" spans="1:17" ht="21.75" customHeight="1" x14ac:dyDescent="0.2">
      <c r="A83" s="368" t="e">
        <f>DATA!#REF!</f>
        <v>#REF!</v>
      </c>
      <c r="B83" s="276"/>
      <c r="C83" s="47">
        <f>DATA!E18</f>
        <v>0</v>
      </c>
      <c r="D83" s="48"/>
      <c r="E83" s="49"/>
      <c r="F83" s="330"/>
      <c r="G83" s="276"/>
      <c r="H83" s="330"/>
      <c r="I83" s="276"/>
      <c r="J83" s="330"/>
      <c r="K83" s="276"/>
      <c r="L83" s="330"/>
      <c r="M83" s="276"/>
      <c r="N83" s="330"/>
      <c r="O83" s="276"/>
      <c r="P83" s="24"/>
      <c r="Q83" s="24"/>
    </row>
    <row r="84" spans="1:17" ht="21.75" customHeight="1" x14ac:dyDescent="0.2">
      <c r="A84" s="368" t="str">
        <f>DATA!B18</f>
        <v>ઉચ્ચતર પુરવાણી ૧</v>
      </c>
      <c r="B84" s="276"/>
      <c r="C84" s="47">
        <f>DATA!E19</f>
        <v>0</v>
      </c>
      <c r="D84" s="48"/>
      <c r="E84" s="49"/>
      <c r="F84" s="330"/>
      <c r="G84" s="276"/>
      <c r="H84" s="330"/>
      <c r="I84" s="276"/>
      <c r="J84" s="330"/>
      <c r="K84" s="276"/>
      <c r="L84" s="330"/>
      <c r="M84" s="276"/>
      <c r="N84" s="330"/>
      <c r="O84" s="276"/>
      <c r="P84" s="24"/>
      <c r="Q84" s="24"/>
    </row>
    <row r="85" spans="1:17" ht="21.75" customHeight="1" x14ac:dyDescent="0.2">
      <c r="A85" s="368" t="str">
        <f>DATA!B19</f>
        <v>ઉચ્ચતર પુરવાણી ૨</v>
      </c>
      <c r="B85" s="276"/>
      <c r="C85" s="47">
        <f>DATA!E20</f>
        <v>0</v>
      </c>
      <c r="D85" s="48"/>
      <c r="E85" s="49"/>
      <c r="F85" s="330"/>
      <c r="G85" s="276"/>
      <c r="H85" s="330"/>
      <c r="I85" s="276"/>
      <c r="J85" s="330"/>
      <c r="K85" s="276"/>
      <c r="L85" s="330"/>
      <c r="M85" s="276"/>
      <c r="N85" s="330"/>
      <c r="O85" s="276"/>
      <c r="P85" s="24"/>
      <c r="Q85" s="24"/>
    </row>
    <row r="86" spans="1:17" ht="21.75" customHeight="1" x14ac:dyDescent="0.2">
      <c r="A86" s="368" t="str">
        <f>DATA!B20</f>
        <v xml:space="preserve">પગાર તફાવત </v>
      </c>
      <c r="B86" s="276"/>
      <c r="C86" s="47">
        <f>DATA!E21</f>
        <v>0</v>
      </c>
      <c r="D86" s="48"/>
      <c r="E86" s="49"/>
      <c r="F86" s="27"/>
      <c r="G86" s="50"/>
      <c r="H86" s="27"/>
      <c r="I86" s="50"/>
      <c r="J86" s="27"/>
      <c r="K86" s="50"/>
      <c r="L86" s="27"/>
      <c r="M86" s="50"/>
      <c r="N86" s="27"/>
      <c r="O86" s="50"/>
      <c r="P86" s="24"/>
      <c r="Q86" s="24"/>
    </row>
    <row r="87" spans="1:17" ht="21.75" customHeight="1" x14ac:dyDescent="0.2">
      <c r="A87" s="368" t="str">
        <f>DATA!B21</f>
        <v>LTC બીલ</v>
      </c>
      <c r="B87" s="276"/>
      <c r="C87" s="47">
        <f>DATA!E22</f>
        <v>0</v>
      </c>
      <c r="D87" s="48"/>
      <c r="E87" s="49"/>
      <c r="F87" s="27"/>
      <c r="G87" s="50"/>
      <c r="H87" s="27"/>
      <c r="I87" s="50"/>
      <c r="J87" s="27"/>
      <c r="K87" s="50"/>
      <c r="L87" s="27"/>
      <c r="M87" s="50"/>
      <c r="N87" s="27"/>
      <c r="O87" s="50"/>
      <c r="P87" s="24"/>
      <c r="Q87" s="24"/>
    </row>
    <row r="88" spans="1:17" ht="21.75" customHeight="1" x14ac:dyDescent="0.2">
      <c r="A88" s="368" t="str">
        <f>DATA!B22</f>
        <v>અન્ય પુરવણી બીલ</v>
      </c>
      <c r="B88" s="276"/>
      <c r="C88" s="47">
        <f>DATA!E23</f>
        <v>0</v>
      </c>
      <c r="D88" s="48"/>
      <c r="E88" s="49"/>
      <c r="F88" s="27"/>
      <c r="G88" s="50"/>
      <c r="H88" s="27"/>
      <c r="I88" s="50"/>
      <c r="J88" s="27"/>
      <c r="K88" s="50"/>
      <c r="L88" s="27"/>
      <c r="M88" s="50"/>
      <c r="N88" s="27"/>
      <c r="O88" s="50"/>
      <c r="P88" s="24"/>
      <c r="Q88" s="24"/>
    </row>
    <row r="89" spans="1:17" ht="21.75" customHeight="1" x14ac:dyDescent="0.2">
      <c r="A89" s="368" t="str">
        <f>DATA!B24</f>
        <v>.</v>
      </c>
      <c r="B89" s="276"/>
      <c r="C89" s="47">
        <f>DATA!E24</f>
        <v>0</v>
      </c>
      <c r="D89" s="48"/>
      <c r="E89" s="49"/>
      <c r="F89" s="330"/>
      <c r="G89" s="276"/>
      <c r="H89" s="330"/>
      <c r="I89" s="276"/>
      <c r="J89" s="330"/>
      <c r="K89" s="276"/>
      <c r="L89" s="330"/>
      <c r="M89" s="276"/>
      <c r="N89" s="330"/>
      <c r="O89" s="276"/>
      <c r="P89" s="24"/>
      <c r="Q89" s="24"/>
    </row>
    <row r="90" spans="1:17" ht="21.75" customHeight="1" x14ac:dyDescent="0.2">
      <c r="A90" s="316" t="s">
        <v>172</v>
      </c>
      <c r="B90" s="276"/>
      <c r="C90" s="52">
        <f>SUM(C69:C89)</f>
        <v>1096672</v>
      </c>
      <c r="D90" s="53">
        <f t="shared" ref="D90:F90" si="2">SUM(D69:D85)</f>
        <v>0</v>
      </c>
      <c r="E90" s="52">
        <f t="shared" si="2"/>
        <v>0</v>
      </c>
      <c r="F90" s="369">
        <f t="shared" si="2"/>
        <v>102403</v>
      </c>
      <c r="G90" s="276"/>
      <c r="H90" s="319">
        <f>SUM(H69:H85)</f>
        <v>2400</v>
      </c>
      <c r="I90" s="276"/>
      <c r="J90" s="319">
        <f>SUM(J69:J85)</f>
        <v>9600</v>
      </c>
      <c r="K90" s="276"/>
      <c r="L90" s="319">
        <f>SUM(L69:L85)</f>
        <v>78900</v>
      </c>
      <c r="M90" s="276"/>
      <c r="N90" s="319">
        <f>SUM(N69:N85)</f>
        <v>96350</v>
      </c>
      <c r="O90" s="276"/>
      <c r="P90" s="24"/>
      <c r="Q90" s="61"/>
    </row>
    <row r="91" spans="1:17" ht="21.75" customHeight="1" x14ac:dyDescent="0.2">
      <c r="A91" s="313" t="str">
        <f>"(B) ઇન્કમટેક્ષ કલમ 88 I હેઠળ નાણાકીય વર્ષ "&amp;DATA!E5&amp;"-"&amp;DATA!F5&amp;" દરમ્યાન કરેલા કર રાહત રોકાણોની વિગત"</f>
        <v>(B) ઇન્કમટેક્ષ કલમ 88 I હેઠળ નાણાકીય વર્ષ 2025-2026 દરમ્યાન કરેલા કર રાહત રોકાણોની વિગત</v>
      </c>
      <c r="B91" s="275"/>
      <c r="C91" s="275"/>
      <c r="D91" s="275"/>
      <c r="E91" s="275"/>
      <c r="F91" s="275"/>
      <c r="G91" s="275"/>
      <c r="H91" s="275"/>
      <c r="I91" s="275"/>
      <c r="J91" s="275"/>
      <c r="K91" s="275"/>
      <c r="L91" s="275"/>
      <c r="M91" s="275"/>
      <c r="N91" s="275"/>
      <c r="O91" s="276"/>
      <c r="P91" s="24"/>
      <c r="Q91" s="24"/>
    </row>
    <row r="92" spans="1:17" ht="21.75" customHeight="1" x14ac:dyDescent="0.2">
      <c r="A92" s="369" t="s">
        <v>173</v>
      </c>
      <c r="B92" s="276"/>
      <c r="C92" s="369" t="s">
        <v>174</v>
      </c>
      <c r="D92" s="276"/>
      <c r="E92" s="55" t="s">
        <v>175</v>
      </c>
      <c r="F92" s="369" t="s">
        <v>176</v>
      </c>
      <c r="G92" s="276"/>
      <c r="H92" s="369" t="s">
        <v>177</v>
      </c>
      <c r="I92" s="275"/>
      <c r="J92" s="276"/>
      <c r="K92" s="369" t="s">
        <v>178</v>
      </c>
      <c r="L92" s="275"/>
      <c r="M92" s="275"/>
      <c r="N92" s="275"/>
      <c r="O92" s="276"/>
      <c r="P92" s="24"/>
      <c r="Q92" s="24"/>
    </row>
    <row r="93" spans="1:17" ht="21.75" customHeight="1" x14ac:dyDescent="0.2">
      <c r="A93" s="313">
        <v>1</v>
      </c>
      <c r="B93" s="276"/>
      <c r="C93" s="394" t="s">
        <v>34</v>
      </c>
      <c r="D93" s="276"/>
      <c r="E93" s="42" t="str">
        <f>DATA!E5&amp;"-"&amp;DATA!F5</f>
        <v>2025-2026</v>
      </c>
      <c r="F93" s="313">
        <f>DATA!K20</f>
        <v>0</v>
      </c>
      <c r="G93" s="276"/>
      <c r="H93" s="313"/>
      <c r="I93" s="275"/>
      <c r="J93" s="276"/>
      <c r="K93" s="313"/>
      <c r="L93" s="275"/>
      <c r="M93" s="275"/>
      <c r="N93" s="275"/>
      <c r="O93" s="276"/>
      <c r="P93" s="24"/>
      <c r="Q93" s="24"/>
    </row>
    <row r="94" spans="1:17" ht="21.75" customHeight="1" x14ac:dyDescent="0.2">
      <c r="A94" s="313">
        <v>2</v>
      </c>
      <c r="B94" s="276"/>
      <c r="C94" s="394" t="s">
        <v>39</v>
      </c>
      <c r="D94" s="276"/>
      <c r="E94" s="96" t="str">
        <f t="shared" ref="E94:E105" si="3">E93</f>
        <v>2025-2026</v>
      </c>
      <c r="F94" s="313">
        <f>DATA!K22</f>
        <v>0</v>
      </c>
      <c r="G94" s="276"/>
      <c r="H94" s="313"/>
      <c r="I94" s="275"/>
      <c r="J94" s="276"/>
      <c r="K94" s="313"/>
      <c r="L94" s="275"/>
      <c r="M94" s="275"/>
      <c r="N94" s="275"/>
      <c r="O94" s="276"/>
      <c r="P94" s="24"/>
      <c r="Q94" s="24"/>
    </row>
    <row r="95" spans="1:17" ht="21.75" customHeight="1" x14ac:dyDescent="0.2">
      <c r="A95" s="313">
        <v>3</v>
      </c>
      <c r="B95" s="276"/>
      <c r="C95" s="394" t="s">
        <v>41</v>
      </c>
      <c r="D95" s="276"/>
      <c r="E95" s="96" t="str">
        <f t="shared" si="3"/>
        <v>2025-2026</v>
      </c>
      <c r="F95" s="313">
        <f>DATA!K23</f>
        <v>0</v>
      </c>
      <c r="G95" s="276"/>
      <c r="H95" s="313"/>
      <c r="I95" s="275"/>
      <c r="J95" s="276"/>
      <c r="K95" s="313"/>
      <c r="L95" s="275"/>
      <c r="M95" s="275"/>
      <c r="N95" s="275"/>
      <c r="O95" s="276"/>
      <c r="P95" s="24"/>
      <c r="Q95" s="24"/>
    </row>
    <row r="96" spans="1:17" ht="21.75" customHeight="1" x14ac:dyDescent="0.2">
      <c r="A96" s="313">
        <v>4</v>
      </c>
      <c r="B96" s="276"/>
      <c r="C96" s="394" t="s">
        <v>49</v>
      </c>
      <c r="D96" s="276"/>
      <c r="E96" s="96" t="str">
        <f t="shared" si="3"/>
        <v>2025-2026</v>
      </c>
      <c r="F96" s="313">
        <f>DATA!K25</f>
        <v>0</v>
      </c>
      <c r="G96" s="276"/>
      <c r="H96" s="313"/>
      <c r="I96" s="275"/>
      <c r="J96" s="276"/>
      <c r="K96" s="313"/>
      <c r="L96" s="275"/>
      <c r="M96" s="275"/>
      <c r="N96" s="275"/>
      <c r="O96" s="276"/>
      <c r="P96" s="24"/>
      <c r="Q96" s="24"/>
    </row>
    <row r="97" spans="1:17" ht="21.75" customHeight="1" x14ac:dyDescent="0.2">
      <c r="A97" s="313">
        <v>5</v>
      </c>
      <c r="B97" s="276"/>
      <c r="C97" s="394" t="s">
        <v>51</v>
      </c>
      <c r="D97" s="276"/>
      <c r="E97" s="96" t="str">
        <f t="shared" si="3"/>
        <v>2025-2026</v>
      </c>
      <c r="F97" s="313">
        <f>DATA!K26</f>
        <v>0</v>
      </c>
      <c r="G97" s="276"/>
      <c r="H97" s="313"/>
      <c r="I97" s="275"/>
      <c r="J97" s="276"/>
      <c r="K97" s="313"/>
      <c r="L97" s="275"/>
      <c r="M97" s="275"/>
      <c r="N97" s="275"/>
      <c r="O97" s="276"/>
      <c r="P97" s="24"/>
      <c r="Q97" s="24"/>
    </row>
    <row r="98" spans="1:17" ht="21.75" customHeight="1" x14ac:dyDescent="0.2">
      <c r="A98" s="313">
        <v>6</v>
      </c>
      <c r="B98" s="276"/>
      <c r="C98" s="394" t="s">
        <v>54</v>
      </c>
      <c r="D98" s="276"/>
      <c r="E98" s="96" t="str">
        <f t="shared" si="3"/>
        <v>2025-2026</v>
      </c>
      <c r="F98" s="313">
        <f>DATA!K27</f>
        <v>0</v>
      </c>
      <c r="G98" s="276"/>
      <c r="H98" s="313"/>
      <c r="I98" s="275"/>
      <c r="J98" s="276"/>
      <c r="K98" s="313"/>
      <c r="L98" s="275"/>
      <c r="M98" s="275"/>
      <c r="N98" s="275"/>
      <c r="O98" s="276"/>
      <c r="P98" s="24"/>
      <c r="Q98" s="24"/>
    </row>
    <row r="99" spans="1:17" ht="21.75" customHeight="1" x14ac:dyDescent="0.2">
      <c r="A99" s="313">
        <v>7</v>
      </c>
      <c r="B99" s="276"/>
      <c r="C99" s="394" t="s">
        <v>56</v>
      </c>
      <c r="D99" s="276"/>
      <c r="E99" s="96" t="str">
        <f t="shared" si="3"/>
        <v>2025-2026</v>
      </c>
      <c r="F99" s="313">
        <f>DATA!K28</f>
        <v>0</v>
      </c>
      <c r="G99" s="276"/>
      <c r="H99" s="313"/>
      <c r="I99" s="275"/>
      <c r="J99" s="276"/>
      <c r="K99" s="313"/>
      <c r="L99" s="275"/>
      <c r="M99" s="275"/>
      <c r="N99" s="275"/>
      <c r="O99" s="276"/>
      <c r="P99" s="24"/>
      <c r="Q99" s="24"/>
    </row>
    <row r="100" spans="1:17" ht="21.75" customHeight="1" x14ac:dyDescent="0.2">
      <c r="A100" s="313">
        <v>8</v>
      </c>
      <c r="B100" s="276"/>
      <c r="C100" s="394" t="s">
        <v>58</v>
      </c>
      <c r="D100" s="276"/>
      <c r="E100" s="96" t="str">
        <f t="shared" si="3"/>
        <v>2025-2026</v>
      </c>
      <c r="F100" s="313">
        <f>DATA!K29</f>
        <v>0</v>
      </c>
      <c r="G100" s="276"/>
      <c r="H100" s="313"/>
      <c r="I100" s="275"/>
      <c r="J100" s="276"/>
      <c r="K100" s="313"/>
      <c r="L100" s="275"/>
      <c r="M100" s="275"/>
      <c r="N100" s="275"/>
      <c r="O100" s="276"/>
      <c r="P100" s="24"/>
      <c r="Q100" s="24"/>
    </row>
    <row r="101" spans="1:17" ht="21.75" customHeight="1" x14ac:dyDescent="0.2">
      <c r="A101" s="313">
        <v>9</v>
      </c>
      <c r="B101" s="276"/>
      <c r="C101" s="394" t="s">
        <v>131</v>
      </c>
      <c r="D101" s="276"/>
      <c r="E101" s="96" t="str">
        <f t="shared" si="3"/>
        <v>2025-2026</v>
      </c>
      <c r="F101" s="313">
        <f>DATA!K30</f>
        <v>0</v>
      </c>
      <c r="G101" s="276"/>
      <c r="H101" s="313"/>
      <c r="I101" s="275"/>
      <c r="J101" s="276"/>
      <c r="K101" s="313"/>
      <c r="L101" s="275"/>
      <c r="M101" s="275"/>
      <c r="N101" s="275"/>
      <c r="O101" s="276"/>
      <c r="P101" s="24"/>
      <c r="Q101" s="24"/>
    </row>
    <row r="102" spans="1:17" ht="21.75" customHeight="1" x14ac:dyDescent="0.2">
      <c r="A102" s="313">
        <v>10</v>
      </c>
      <c r="B102" s="276"/>
      <c r="C102" s="394" t="s">
        <v>62</v>
      </c>
      <c r="D102" s="276"/>
      <c r="E102" s="96" t="str">
        <f t="shared" si="3"/>
        <v>2025-2026</v>
      </c>
      <c r="F102" s="313">
        <f>DATA!K31</f>
        <v>0</v>
      </c>
      <c r="G102" s="276"/>
      <c r="H102" s="313"/>
      <c r="I102" s="275"/>
      <c r="J102" s="276"/>
      <c r="K102" s="313"/>
      <c r="L102" s="275"/>
      <c r="M102" s="275"/>
      <c r="N102" s="275"/>
      <c r="O102" s="276"/>
      <c r="P102" s="24"/>
      <c r="Q102" s="24"/>
    </row>
    <row r="103" spans="1:17" ht="21.75" customHeight="1" x14ac:dyDescent="0.2">
      <c r="A103" s="313">
        <v>11</v>
      </c>
      <c r="B103" s="276"/>
      <c r="C103" s="394" t="s">
        <v>179</v>
      </c>
      <c r="D103" s="276"/>
      <c r="E103" s="96" t="str">
        <f t="shared" si="3"/>
        <v>2025-2026</v>
      </c>
      <c r="F103" s="313">
        <f>DATA!K32</f>
        <v>0</v>
      </c>
      <c r="G103" s="276"/>
      <c r="H103" s="313"/>
      <c r="I103" s="275"/>
      <c r="J103" s="276"/>
      <c r="K103" s="313"/>
      <c r="L103" s="275"/>
      <c r="M103" s="275"/>
      <c r="N103" s="275"/>
      <c r="O103" s="276"/>
      <c r="P103" s="24"/>
      <c r="Q103" s="24"/>
    </row>
    <row r="104" spans="1:17" ht="21.75" customHeight="1" x14ac:dyDescent="0.2">
      <c r="A104" s="313">
        <v>12</v>
      </c>
      <c r="B104" s="276"/>
      <c r="C104" s="394" t="s">
        <v>180</v>
      </c>
      <c r="D104" s="276"/>
      <c r="E104" s="96" t="str">
        <f t="shared" si="3"/>
        <v>2025-2026</v>
      </c>
      <c r="F104" s="313">
        <f>DATA!O29</f>
        <v>25000</v>
      </c>
      <c r="G104" s="276"/>
      <c r="H104" s="313"/>
      <c r="I104" s="275"/>
      <c r="J104" s="276"/>
      <c r="K104" s="313"/>
      <c r="L104" s="275"/>
      <c r="M104" s="275"/>
      <c r="N104" s="275"/>
      <c r="O104" s="276"/>
      <c r="P104" s="24"/>
      <c r="Q104" s="24"/>
    </row>
    <row r="105" spans="1:17" ht="21.75" customHeight="1" x14ac:dyDescent="0.2">
      <c r="A105" s="313">
        <v>13</v>
      </c>
      <c r="B105" s="276"/>
      <c r="C105" s="390" t="s">
        <v>181</v>
      </c>
      <c r="D105" s="276"/>
      <c r="E105" s="96" t="str">
        <f t="shared" si="3"/>
        <v>2025-2026</v>
      </c>
      <c r="F105" s="313">
        <f>DATA!O34</f>
        <v>0</v>
      </c>
      <c r="G105" s="276"/>
      <c r="H105" s="313"/>
      <c r="I105" s="275"/>
      <c r="J105" s="276"/>
      <c r="K105" s="313"/>
      <c r="L105" s="275"/>
      <c r="M105" s="275"/>
      <c r="N105" s="275"/>
      <c r="O105" s="276"/>
      <c r="P105" s="24"/>
      <c r="Q105" s="24"/>
    </row>
    <row r="106" spans="1:17" ht="6.75" customHeight="1" x14ac:dyDescent="0.2">
      <c r="A106" s="371"/>
      <c r="B106" s="362"/>
      <c r="C106" s="371"/>
      <c r="D106" s="362"/>
      <c r="E106" s="63"/>
      <c r="F106" s="371"/>
      <c r="G106" s="362"/>
      <c r="H106" s="371"/>
      <c r="I106" s="362"/>
      <c r="J106" s="362"/>
      <c r="K106" s="371"/>
      <c r="L106" s="362"/>
      <c r="M106" s="362"/>
      <c r="N106" s="362"/>
      <c r="O106" s="362"/>
      <c r="P106" s="24"/>
      <c r="Q106" s="24"/>
    </row>
    <row r="107" spans="1:17" ht="15.75" customHeight="1" x14ac:dyDescent="0.2">
      <c r="A107" s="388" t="s">
        <v>182</v>
      </c>
      <c r="B107" s="362"/>
      <c r="C107" s="362"/>
      <c r="D107" s="362"/>
      <c r="E107" s="362"/>
      <c r="F107" s="362"/>
      <c r="G107" s="362"/>
      <c r="H107" s="362"/>
      <c r="I107" s="362"/>
      <c r="J107" s="362"/>
      <c r="K107" s="362"/>
      <c r="L107" s="362"/>
      <c r="M107" s="362"/>
      <c r="N107" s="362"/>
      <c r="O107" s="362"/>
      <c r="P107" s="24"/>
      <c r="Q107" s="24"/>
    </row>
    <row r="108" spans="1:17" ht="3" customHeight="1" x14ac:dyDescent="0.2">
      <c r="A108" s="371"/>
      <c r="B108" s="362"/>
      <c r="C108" s="371"/>
      <c r="D108" s="362"/>
      <c r="E108" s="63"/>
      <c r="F108" s="371"/>
      <c r="G108" s="362"/>
      <c r="H108" s="371"/>
      <c r="I108" s="362"/>
      <c r="J108" s="362"/>
      <c r="K108" s="371"/>
      <c r="L108" s="362"/>
      <c r="M108" s="362"/>
      <c r="N108" s="362"/>
      <c r="O108" s="362"/>
      <c r="P108" s="24"/>
      <c r="Q108" s="24"/>
    </row>
    <row r="109" spans="1:17" ht="18.75" customHeight="1" x14ac:dyDescent="0.2">
      <c r="A109" s="389" t="s">
        <v>183</v>
      </c>
      <c r="B109" s="362"/>
      <c r="C109" s="64" t="str">
        <f>DATA!E7</f>
        <v xml:space="preserve">SANJAYKUMAR </v>
      </c>
      <c r="D109" s="64" t="str">
        <f>DATA!K7</f>
        <v xml:space="preserve">NATVARBHAI </v>
      </c>
      <c r="E109" s="65" t="str">
        <f>DATA!P7</f>
        <v>DATTANI</v>
      </c>
      <c r="F109" s="66" t="s">
        <v>184</v>
      </c>
      <c r="G109" s="374" t="str">
        <f>DATA!O10</f>
        <v xml:space="preserve">PRINCIPAL </v>
      </c>
      <c r="H109" s="362"/>
      <c r="I109" s="362"/>
      <c r="J109" s="374" t="str">
        <f>DATA!E6</f>
        <v xml:space="preserve">KADJODARA </v>
      </c>
      <c r="K109" s="362"/>
      <c r="L109" s="362"/>
      <c r="M109" s="361" t="s">
        <v>185</v>
      </c>
      <c r="N109" s="362"/>
      <c r="O109" s="362"/>
      <c r="P109" s="24"/>
      <c r="Q109" s="24"/>
    </row>
    <row r="110" spans="1:17" ht="52.5" customHeight="1" x14ac:dyDescent="0.2">
      <c r="A110" s="396" t="str">
        <f>"જિ.-ગાંધીનગર  ,કબુલાતનામું આપીને જાણાવું છુ કે, આ સાથેના અને તે અંગેના સેલ્ફ એસેસમેન્ટ ફોર્મમાં મેં જે બચતો લખેલ છે તે પ્રમાણેની તમામ બચતો હું કરીશ જ, પરંતુ તે અંગે જે કોઈ બચતપત્રો લેવાના થશે, રોકાણો કરવાના થશે, તે અંગેના તમામ રોકાણ તા.31/03/"&amp;DATA!F5&amp;" સુધીમાં કરી દઈશ તે બાબતની હું ખાત્રી આપું છું."</f>
        <v>જિ.-ગાંધીનગર  ,કબુલાતનામું આપીને જાણાવું છુ કે, આ સાથેના અને તે અંગેના સેલ્ફ એસેસમેન્ટ ફોર્મમાં મેં જે બચતો લખેલ છે તે પ્રમાણેની તમામ બચતો હું કરીશ જ, પરંતુ તે અંગે જે કોઈ બચતપત્રો લેવાના થશે, રોકાણો કરવાના થશે, તે અંગેના તમામ રોકાણ તા.31/03/2026 સુધીમાં કરી દઈશ તે બાબતની હું ખાત્રી આપું છું.</v>
      </c>
      <c r="B110" s="362"/>
      <c r="C110" s="362"/>
      <c r="D110" s="362"/>
      <c r="E110" s="362"/>
      <c r="F110" s="362"/>
      <c r="G110" s="362"/>
      <c r="H110" s="362"/>
      <c r="I110" s="362"/>
      <c r="J110" s="362"/>
      <c r="K110" s="362"/>
      <c r="L110" s="362"/>
      <c r="M110" s="362"/>
      <c r="N110" s="362"/>
      <c r="O110" s="362"/>
      <c r="P110" s="24"/>
      <c r="Q110" s="24"/>
    </row>
    <row r="111" spans="1:17" ht="18.75" customHeight="1" x14ac:dyDescent="0.2">
      <c r="A111" s="374" t="s">
        <v>186</v>
      </c>
      <c r="B111" s="362"/>
      <c r="C111" s="375"/>
      <c r="D111" s="362"/>
      <c r="E111" s="362"/>
      <c r="F111" s="362"/>
      <c r="G111" s="66"/>
      <c r="H111" s="66"/>
      <c r="I111" s="66"/>
      <c r="J111" s="376"/>
      <c r="K111" s="377"/>
      <c r="L111" s="377"/>
      <c r="M111" s="377"/>
      <c r="N111" s="377"/>
      <c r="O111" s="377"/>
      <c r="P111" s="24"/>
      <c r="Q111" s="24"/>
    </row>
    <row r="112" spans="1:17" ht="18.75" customHeight="1" x14ac:dyDescent="0.2">
      <c r="A112" s="374" t="s">
        <v>158</v>
      </c>
      <c r="B112" s="362"/>
      <c r="C112" s="378">
        <f ca="1">TODAY()</f>
        <v>46000</v>
      </c>
      <c r="D112" s="362"/>
      <c r="E112" s="39"/>
      <c r="F112" s="66"/>
      <c r="G112" s="66"/>
      <c r="H112" s="66"/>
      <c r="I112" s="66"/>
      <c r="J112" s="374" t="s">
        <v>187</v>
      </c>
      <c r="K112" s="362"/>
      <c r="L112" s="362"/>
      <c r="M112" s="362"/>
      <c r="N112" s="362"/>
      <c r="O112" s="67"/>
      <c r="P112" s="24"/>
      <c r="Q112" s="24"/>
    </row>
  </sheetData>
  <sheetProtection password="C045" sheet="1" objects="1" scenarios="1"/>
  <mergeCells count="404">
    <mergeCell ref="A110:O110"/>
    <mergeCell ref="A111:B111"/>
    <mergeCell ref="C111:F111"/>
    <mergeCell ref="J111:O111"/>
    <mergeCell ref="A112:B112"/>
    <mergeCell ref="C112:D112"/>
    <mergeCell ref="J112:N112"/>
    <mergeCell ref="A5:A8"/>
    <mergeCell ref="C67:C68"/>
    <mergeCell ref="B5:E8"/>
    <mergeCell ref="A67:B68"/>
    <mergeCell ref="F5:O6"/>
    <mergeCell ref="A107:O107"/>
    <mergeCell ref="A108:B108"/>
    <mergeCell ref="C108:D108"/>
    <mergeCell ref="F108:G108"/>
    <mergeCell ref="H108:J108"/>
    <mergeCell ref="K108:O108"/>
    <mergeCell ref="A109:B109"/>
    <mergeCell ref="G109:I109"/>
    <mergeCell ref="J109:L109"/>
    <mergeCell ref="M109:O109"/>
    <mergeCell ref="A105:B105"/>
    <mergeCell ref="C105:D105"/>
    <mergeCell ref="F105:G105"/>
    <mergeCell ref="H105:J105"/>
    <mergeCell ref="K105:O105"/>
    <mergeCell ref="A106:B106"/>
    <mergeCell ref="C106:D106"/>
    <mergeCell ref="F106:G106"/>
    <mergeCell ref="H106:J106"/>
    <mergeCell ref="K106:O106"/>
    <mergeCell ref="A103:B103"/>
    <mergeCell ref="C103:D103"/>
    <mergeCell ref="F103:G103"/>
    <mergeCell ref="H103:J103"/>
    <mergeCell ref="K103:O103"/>
    <mergeCell ref="A104:B104"/>
    <mergeCell ref="C104:D104"/>
    <mergeCell ref="F104:G104"/>
    <mergeCell ref="H104:J104"/>
    <mergeCell ref="K104:O104"/>
    <mergeCell ref="A101:B101"/>
    <mergeCell ref="C101:D101"/>
    <mergeCell ref="F101:G101"/>
    <mergeCell ref="H101:J101"/>
    <mergeCell ref="K101:O101"/>
    <mergeCell ref="A102:B102"/>
    <mergeCell ref="C102:D102"/>
    <mergeCell ref="F102:G102"/>
    <mergeCell ref="H102:J102"/>
    <mergeCell ref="K102:O102"/>
    <mergeCell ref="A99:B99"/>
    <mergeCell ref="C99:D99"/>
    <mergeCell ref="F99:G99"/>
    <mergeCell ref="H99:J99"/>
    <mergeCell ref="K99:O99"/>
    <mergeCell ref="A100:B100"/>
    <mergeCell ref="C100:D100"/>
    <mergeCell ref="F100:G100"/>
    <mergeCell ref="H100:J100"/>
    <mergeCell ref="K100:O100"/>
    <mergeCell ref="A97:B97"/>
    <mergeCell ref="C97:D97"/>
    <mergeCell ref="F97:G97"/>
    <mergeCell ref="H97:J97"/>
    <mergeCell ref="K97:O97"/>
    <mergeCell ref="A98:B98"/>
    <mergeCell ref="C98:D98"/>
    <mergeCell ref="F98:G98"/>
    <mergeCell ref="H98:J98"/>
    <mergeCell ref="K98:O98"/>
    <mergeCell ref="A95:B95"/>
    <mergeCell ref="C95:D95"/>
    <mergeCell ref="F95:G95"/>
    <mergeCell ref="H95:J95"/>
    <mergeCell ref="K95:O95"/>
    <mergeCell ref="A96:B96"/>
    <mergeCell ref="C96:D96"/>
    <mergeCell ref="F96:G96"/>
    <mergeCell ref="H96:J96"/>
    <mergeCell ref="K96:O96"/>
    <mergeCell ref="A93:B93"/>
    <mergeCell ref="C93:D93"/>
    <mergeCell ref="F93:G93"/>
    <mergeCell ref="H93:J93"/>
    <mergeCell ref="K93:O93"/>
    <mergeCell ref="A94:B94"/>
    <mergeCell ref="C94:D94"/>
    <mergeCell ref="F94:G94"/>
    <mergeCell ref="H94:J94"/>
    <mergeCell ref="K94:O94"/>
    <mergeCell ref="A90:B90"/>
    <mergeCell ref="F90:G90"/>
    <mergeCell ref="H90:I90"/>
    <mergeCell ref="J90:K90"/>
    <mergeCell ref="L90:M90"/>
    <mergeCell ref="N90:O90"/>
    <mergeCell ref="A91:O91"/>
    <mergeCell ref="A92:B92"/>
    <mergeCell ref="C92:D92"/>
    <mergeCell ref="F92:G92"/>
    <mergeCell ref="H92:J92"/>
    <mergeCell ref="K92:O92"/>
    <mergeCell ref="A86:B86"/>
    <mergeCell ref="A87:B87"/>
    <mergeCell ref="A88:B88"/>
    <mergeCell ref="A89:B89"/>
    <mergeCell ref="F89:G89"/>
    <mergeCell ref="H89:I89"/>
    <mergeCell ref="J89:K89"/>
    <mergeCell ref="L89:M89"/>
    <mergeCell ref="N89:O89"/>
    <mergeCell ref="A84:B84"/>
    <mergeCell ref="F84:G84"/>
    <mergeCell ref="H84:I84"/>
    <mergeCell ref="J84:K84"/>
    <mergeCell ref="L84:M84"/>
    <mergeCell ref="N84:O84"/>
    <mergeCell ref="A85:B85"/>
    <mergeCell ref="F85:G85"/>
    <mergeCell ref="H85:I85"/>
    <mergeCell ref="J85:K85"/>
    <mergeCell ref="L85:M85"/>
    <mergeCell ref="N85:O85"/>
    <mergeCell ref="A82:B82"/>
    <mergeCell ref="F82:G82"/>
    <mergeCell ref="H82:I82"/>
    <mergeCell ref="J82:K82"/>
    <mergeCell ref="L82:M82"/>
    <mergeCell ref="N82:O82"/>
    <mergeCell ref="A83:B83"/>
    <mergeCell ref="F83:G83"/>
    <mergeCell ref="H83:I83"/>
    <mergeCell ref="J83:K83"/>
    <mergeCell ref="L83:M83"/>
    <mergeCell ref="N83:O83"/>
    <mergeCell ref="A80:B80"/>
    <mergeCell ref="F80:G80"/>
    <mergeCell ref="H80:I80"/>
    <mergeCell ref="J80:K80"/>
    <mergeCell ref="L80:M80"/>
    <mergeCell ref="N80:O80"/>
    <mergeCell ref="A81:B81"/>
    <mergeCell ref="F81:G81"/>
    <mergeCell ref="H81:I81"/>
    <mergeCell ref="J81:K81"/>
    <mergeCell ref="L81:M81"/>
    <mergeCell ref="N81:O81"/>
    <mergeCell ref="A78:B78"/>
    <mergeCell ref="F78:G78"/>
    <mergeCell ref="H78:I78"/>
    <mergeCell ref="J78:K78"/>
    <mergeCell ref="L78:M78"/>
    <mergeCell ref="N78:O78"/>
    <mergeCell ref="A79:B79"/>
    <mergeCell ref="F79:G79"/>
    <mergeCell ref="H79:I79"/>
    <mergeCell ref="J79:K79"/>
    <mergeCell ref="L79:M79"/>
    <mergeCell ref="N79:O79"/>
    <mergeCell ref="A76:B76"/>
    <mergeCell ref="F76:G76"/>
    <mergeCell ref="H76:I76"/>
    <mergeCell ref="J76:K76"/>
    <mergeCell ref="L76:M76"/>
    <mergeCell ref="N76:O76"/>
    <mergeCell ref="A77:B77"/>
    <mergeCell ref="F77:G77"/>
    <mergeCell ref="H77:I77"/>
    <mergeCell ref="J77:K77"/>
    <mergeCell ref="L77:M77"/>
    <mergeCell ref="N77:O77"/>
    <mergeCell ref="A74:B74"/>
    <mergeCell ref="F74:G74"/>
    <mergeCell ref="H74:I74"/>
    <mergeCell ref="J74:K74"/>
    <mergeCell ref="L74:M74"/>
    <mergeCell ref="N74:O74"/>
    <mergeCell ref="A75:B75"/>
    <mergeCell ref="F75:G75"/>
    <mergeCell ref="H75:I75"/>
    <mergeCell ref="J75:K75"/>
    <mergeCell ref="L75:M75"/>
    <mergeCell ref="N75:O75"/>
    <mergeCell ref="A72:B72"/>
    <mergeCell ref="F72:G72"/>
    <mergeCell ref="H72:I72"/>
    <mergeCell ref="J72:K72"/>
    <mergeCell ref="L72:M72"/>
    <mergeCell ref="N72:O72"/>
    <mergeCell ref="A73:B73"/>
    <mergeCell ref="F73:G73"/>
    <mergeCell ref="H73:I73"/>
    <mergeCell ref="J73:K73"/>
    <mergeCell ref="L73:M73"/>
    <mergeCell ref="N73:O73"/>
    <mergeCell ref="A70:B70"/>
    <mergeCell ref="F70:G70"/>
    <mergeCell ref="H70:I70"/>
    <mergeCell ref="J70:K70"/>
    <mergeCell ref="L70:M70"/>
    <mergeCell ref="N70:O70"/>
    <mergeCell ref="A71:B71"/>
    <mergeCell ref="F71:G71"/>
    <mergeCell ref="H71:I71"/>
    <mergeCell ref="J71:K71"/>
    <mergeCell ref="L71:M71"/>
    <mergeCell ref="N71:O71"/>
    <mergeCell ref="A66:O66"/>
    <mergeCell ref="D67:O67"/>
    <mergeCell ref="F68:G68"/>
    <mergeCell ref="H68:I68"/>
    <mergeCell ref="J68:K68"/>
    <mergeCell ref="L68:M68"/>
    <mergeCell ref="N68:O68"/>
    <mergeCell ref="A69:B69"/>
    <mergeCell ref="F69:G69"/>
    <mergeCell ref="H69:I69"/>
    <mergeCell ref="J69:K69"/>
    <mergeCell ref="L69:M69"/>
    <mergeCell ref="N69:O69"/>
    <mergeCell ref="B62:J62"/>
    <mergeCell ref="K62:L62"/>
    <mergeCell ref="M62:O62"/>
    <mergeCell ref="A63:O63"/>
    <mergeCell ref="A64:B64"/>
    <mergeCell ref="C64:E64"/>
    <mergeCell ref="K64:O64"/>
    <mergeCell ref="A65:B65"/>
    <mergeCell ref="C65:D65"/>
    <mergeCell ref="F65:I65"/>
    <mergeCell ref="K65:O65"/>
    <mergeCell ref="B59:J59"/>
    <mergeCell ref="K59:L59"/>
    <mergeCell ref="M59:O59"/>
    <mergeCell ref="B60:J60"/>
    <mergeCell ref="K60:L60"/>
    <mergeCell ref="M60:O60"/>
    <mergeCell ref="B61:J61"/>
    <mergeCell ref="K61:L61"/>
    <mergeCell ref="M61:O61"/>
    <mergeCell ref="B56:E56"/>
    <mergeCell ref="F56:I56"/>
    <mergeCell ref="K56:L56"/>
    <mergeCell ref="M56:O56"/>
    <mergeCell ref="B57:J57"/>
    <mergeCell ref="K57:L57"/>
    <mergeCell ref="M57:O57"/>
    <mergeCell ref="B58:J58"/>
    <mergeCell ref="K58:L58"/>
    <mergeCell ref="M58:O58"/>
    <mergeCell ref="B53:J53"/>
    <mergeCell ref="K53:L53"/>
    <mergeCell ref="M53:O53"/>
    <mergeCell ref="B54:J54"/>
    <mergeCell ref="K54:L54"/>
    <mergeCell ref="M54:O54"/>
    <mergeCell ref="B55:J55"/>
    <mergeCell ref="K55:L55"/>
    <mergeCell ref="M55:O55"/>
    <mergeCell ref="B50:J50"/>
    <mergeCell ref="K50:L50"/>
    <mergeCell ref="M50:O50"/>
    <mergeCell ref="B51:J51"/>
    <mergeCell ref="K51:L51"/>
    <mergeCell ref="M51:O51"/>
    <mergeCell ref="B52:J52"/>
    <mergeCell ref="K52:L52"/>
    <mergeCell ref="M52:O52"/>
    <mergeCell ref="C47:J47"/>
    <mergeCell ref="K47:L47"/>
    <mergeCell ref="M47:O47"/>
    <mergeCell ref="C48:J48"/>
    <mergeCell ref="K48:L48"/>
    <mergeCell ref="M48:O48"/>
    <mergeCell ref="C49:J49"/>
    <mergeCell ref="K49:L49"/>
    <mergeCell ref="M49:O49"/>
    <mergeCell ref="K43:L43"/>
    <mergeCell ref="B44:J44"/>
    <mergeCell ref="K44:L44"/>
    <mergeCell ref="M44:O44"/>
    <mergeCell ref="B45:J45"/>
    <mergeCell ref="K45:L45"/>
    <mergeCell ref="M45:O45"/>
    <mergeCell ref="B46:J46"/>
    <mergeCell ref="K46:L46"/>
    <mergeCell ref="M46:O46"/>
    <mergeCell ref="K38:L38"/>
    <mergeCell ref="M38:O38"/>
    <mergeCell ref="K39:L39"/>
    <mergeCell ref="M39:O39"/>
    <mergeCell ref="K40:L40"/>
    <mergeCell ref="M40:O40"/>
    <mergeCell ref="K41:L41"/>
    <mergeCell ref="M41:O41"/>
    <mergeCell ref="K42:L42"/>
    <mergeCell ref="M42:O42"/>
    <mergeCell ref="C35:J35"/>
    <mergeCell ref="K35:L35"/>
    <mergeCell ref="M35:O35"/>
    <mergeCell ref="C36:J36"/>
    <mergeCell ref="K36:L36"/>
    <mergeCell ref="M36:O36"/>
    <mergeCell ref="B37:J37"/>
    <mergeCell ref="K37:L37"/>
    <mergeCell ref="M37:O37"/>
    <mergeCell ref="C32:J32"/>
    <mergeCell ref="K32:L32"/>
    <mergeCell ref="M32:O32"/>
    <mergeCell ref="C33:J33"/>
    <mergeCell ref="K33:L33"/>
    <mergeCell ref="M33:O33"/>
    <mergeCell ref="C34:J34"/>
    <mergeCell ref="K34:L34"/>
    <mergeCell ref="M34:O34"/>
    <mergeCell ref="C29:J29"/>
    <mergeCell ref="K29:L29"/>
    <mergeCell ref="M29:O29"/>
    <mergeCell ref="C30:J30"/>
    <mergeCell ref="K30:L30"/>
    <mergeCell ref="M30:O30"/>
    <mergeCell ref="C31:J31"/>
    <mergeCell ref="K31:L31"/>
    <mergeCell ref="M31:O31"/>
    <mergeCell ref="C26:J26"/>
    <mergeCell ref="K26:L26"/>
    <mergeCell ref="M26:O26"/>
    <mergeCell ref="C27:J27"/>
    <mergeCell ref="K27:L27"/>
    <mergeCell ref="M27:O27"/>
    <mergeCell ref="C28:J28"/>
    <mergeCell ref="K28:L28"/>
    <mergeCell ref="M28:O28"/>
    <mergeCell ref="C23:J23"/>
    <mergeCell ref="K23:L23"/>
    <mergeCell ref="M23:O23"/>
    <mergeCell ref="C24:J24"/>
    <mergeCell ref="K24:L24"/>
    <mergeCell ref="M24:O24"/>
    <mergeCell ref="C25:J25"/>
    <mergeCell ref="K25:L25"/>
    <mergeCell ref="M25:O25"/>
    <mergeCell ref="B20:J20"/>
    <mergeCell ref="K20:L20"/>
    <mergeCell ref="M20:O20"/>
    <mergeCell ref="B21:J21"/>
    <mergeCell ref="K21:L21"/>
    <mergeCell ref="M21:O21"/>
    <mergeCell ref="B22:J22"/>
    <mergeCell ref="K22:L22"/>
    <mergeCell ref="M22:O22"/>
    <mergeCell ref="C17:J17"/>
    <mergeCell ref="K17:L17"/>
    <mergeCell ref="M17:O17"/>
    <mergeCell ref="C18:J18"/>
    <mergeCell ref="K18:L18"/>
    <mergeCell ref="M18:O18"/>
    <mergeCell ref="C19:J19"/>
    <mergeCell ref="K19:L19"/>
    <mergeCell ref="M19:O19"/>
    <mergeCell ref="B14:J14"/>
    <mergeCell ref="K14:L14"/>
    <mergeCell ref="M14:O14"/>
    <mergeCell ref="B15:J15"/>
    <mergeCell ref="K15:L15"/>
    <mergeCell ref="M15:O15"/>
    <mergeCell ref="C16:J16"/>
    <mergeCell ref="K16:L16"/>
    <mergeCell ref="M16:O16"/>
    <mergeCell ref="B10:C10"/>
    <mergeCell ref="D10:E10"/>
    <mergeCell ref="F10:O10"/>
    <mergeCell ref="B11:E11"/>
    <mergeCell ref="F11:O11"/>
    <mergeCell ref="B12:E12"/>
    <mergeCell ref="F12:H12"/>
    <mergeCell ref="B13:J13"/>
    <mergeCell ref="K13:O13"/>
    <mergeCell ref="B4:E4"/>
    <mergeCell ref="F4:G4"/>
    <mergeCell ref="H4:J4"/>
    <mergeCell ref="M4:O4"/>
    <mergeCell ref="F7:I7"/>
    <mergeCell ref="J7:O7"/>
    <mergeCell ref="F8:I8"/>
    <mergeCell ref="J8:O8"/>
    <mergeCell ref="B9:C9"/>
    <mergeCell ref="D9:E9"/>
    <mergeCell ref="F9:J9"/>
    <mergeCell ref="K9:O9"/>
    <mergeCell ref="A1:B1"/>
    <mergeCell ref="C1:E1"/>
    <mergeCell ref="F1:L1"/>
    <mergeCell ref="M1:O1"/>
    <mergeCell ref="A2:B2"/>
    <mergeCell ref="C2:E2"/>
    <mergeCell ref="H2:K2"/>
    <mergeCell ref="L2:O2"/>
    <mergeCell ref="B3:E3"/>
    <mergeCell ref="F3:G3"/>
    <mergeCell ref="H3:J3"/>
    <mergeCell ref="K3:O3"/>
  </mergeCells>
  <dataValidations count="1">
    <dataValidation type="list" allowBlank="1" showErrorMessage="1" sqref="F12" xr:uid="{00000000-0002-0000-0300-000000000000}">
      <formula1>"MALE,FEMALE"</formula1>
    </dataValidation>
  </dataValidations>
  <printOptions horizontalCentered="1"/>
  <pageMargins left="0.35" right="0.37" top="0.23622047244094499" bottom="0.23622047244094499" header="0" footer="0"/>
  <pageSetup paperSize="9" scale="77" orientation="portrait" r:id="rId1"/>
  <rowBreaks count="1" manualBreakCount="1">
    <brk id="6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W140"/>
  <sheetViews>
    <sheetView topLeftCell="A17" workbookViewId="0">
      <selection activeCell="B40" sqref="B40:L40"/>
    </sheetView>
  </sheetViews>
  <sheetFormatPr defaultColWidth="14.3515625" defaultRowHeight="15" customHeight="1" x14ac:dyDescent="0.2"/>
  <cols>
    <col min="1" max="1" width="11.5390625" customWidth="1"/>
    <col min="2" max="2" width="16.12890625" customWidth="1"/>
    <col min="3" max="3" width="9.9140625" customWidth="1"/>
    <col min="4" max="4" width="10.20703125" customWidth="1"/>
    <col min="5" max="5" width="9.0234375" customWidth="1"/>
    <col min="6" max="6" width="5.91796875" customWidth="1"/>
    <col min="7" max="7" width="3.84375" customWidth="1"/>
    <col min="8" max="8" width="5.47265625" customWidth="1"/>
    <col min="9" max="9" width="5.91796875" customWidth="1"/>
    <col min="10" max="10" width="6.359375" customWidth="1"/>
    <col min="11" max="11" width="7.3984375" customWidth="1"/>
    <col min="12" max="12" width="6.65625" customWidth="1"/>
    <col min="13" max="13" width="5.62109375" customWidth="1"/>
    <col min="14" max="14" width="5.47265625" customWidth="1"/>
    <col min="15" max="16" width="2.95703125" customWidth="1"/>
    <col min="17" max="17" width="3.55078125" customWidth="1"/>
    <col min="18" max="18" width="4.140625" customWidth="1"/>
    <col min="19" max="21" width="9.171875" customWidth="1"/>
    <col min="22" max="23" width="10.20703125" hidden="1" customWidth="1"/>
  </cols>
  <sheetData>
    <row r="1" spans="1:23" ht="28.5" customHeight="1" x14ac:dyDescent="0.2">
      <c r="A1" s="399" t="s">
        <v>200</v>
      </c>
      <c r="B1" s="400"/>
      <c r="C1" s="400"/>
      <c r="D1" s="400"/>
      <c r="E1" s="400"/>
      <c r="F1" s="400"/>
      <c r="G1" s="400"/>
      <c r="H1" s="400"/>
      <c r="I1" s="400"/>
      <c r="J1" s="400"/>
      <c r="K1" s="400"/>
      <c r="L1" s="400"/>
      <c r="M1" s="400"/>
      <c r="N1" s="400"/>
      <c r="O1" s="400"/>
      <c r="P1" s="400"/>
      <c r="Q1" s="400"/>
      <c r="R1" s="400"/>
      <c r="S1" s="400"/>
      <c r="T1" s="400"/>
      <c r="U1" s="400"/>
      <c r="V1" s="24"/>
      <c r="W1" s="24"/>
    </row>
    <row r="2" spans="1:23" ht="12.75" customHeight="1" x14ac:dyDescent="0.2">
      <c r="A2" s="68"/>
      <c r="B2" s="69"/>
      <c r="C2" s="69"/>
      <c r="D2" s="69"/>
      <c r="E2" s="69"/>
      <c r="F2" s="69"/>
      <c r="G2" s="69"/>
      <c r="H2" s="69"/>
      <c r="I2" s="69"/>
      <c r="J2" s="69"/>
      <c r="K2" s="69"/>
      <c r="L2" s="69"/>
      <c r="M2" s="69"/>
      <c r="N2" s="69"/>
      <c r="O2" s="69"/>
      <c r="P2" s="69"/>
      <c r="Q2" s="69"/>
      <c r="R2" s="69"/>
      <c r="S2" s="69"/>
      <c r="T2" s="69"/>
      <c r="U2" s="69"/>
      <c r="V2" s="24"/>
      <c r="W2" s="24"/>
    </row>
    <row r="3" spans="1:23" ht="13.5" customHeight="1" x14ac:dyDescent="0.2">
      <c r="A3" s="405" t="s">
        <v>31</v>
      </c>
      <c r="B3" s="436" t="s">
        <v>70</v>
      </c>
      <c r="C3" s="201"/>
      <c r="D3" s="201"/>
      <c r="E3" s="201"/>
      <c r="F3" s="201"/>
      <c r="G3" s="201"/>
      <c r="H3" s="201"/>
      <c r="I3" s="201"/>
      <c r="J3" s="202"/>
      <c r="K3" s="424" t="s">
        <v>71</v>
      </c>
      <c r="L3" s="401" t="s">
        <v>96</v>
      </c>
      <c r="M3" s="184"/>
      <c r="N3" s="184"/>
      <c r="O3" s="184"/>
      <c r="P3" s="184"/>
      <c r="Q3" s="184"/>
      <c r="R3" s="180"/>
      <c r="S3" s="424" t="s">
        <v>77</v>
      </c>
      <c r="T3" s="429" t="s">
        <v>73</v>
      </c>
      <c r="U3" s="430"/>
      <c r="V3" s="24"/>
      <c r="W3" s="24"/>
    </row>
    <row r="4" spans="1:23" ht="14.25" customHeight="1" x14ac:dyDescent="0.2">
      <c r="A4" s="406"/>
      <c r="B4" s="427"/>
      <c r="C4" s="434"/>
      <c r="D4" s="434"/>
      <c r="E4" s="434"/>
      <c r="F4" s="434"/>
      <c r="G4" s="434"/>
      <c r="H4" s="434"/>
      <c r="I4" s="434"/>
      <c r="J4" s="428"/>
      <c r="K4" s="406"/>
      <c r="L4" s="81"/>
      <c r="M4" s="425" t="s">
        <v>48</v>
      </c>
      <c r="N4" s="425" t="s">
        <v>74</v>
      </c>
      <c r="O4" s="426" t="s">
        <v>97</v>
      </c>
      <c r="P4" s="202"/>
      <c r="Q4" s="426" t="s">
        <v>76</v>
      </c>
      <c r="R4" s="202"/>
      <c r="S4" s="406"/>
      <c r="T4" s="431"/>
      <c r="U4" s="430"/>
      <c r="V4" s="24"/>
      <c r="W4" s="24"/>
    </row>
    <row r="5" spans="1:23" ht="69" customHeight="1" x14ac:dyDescent="0.2">
      <c r="A5" s="407"/>
      <c r="B5" s="70" t="s">
        <v>35</v>
      </c>
      <c r="C5" s="70" t="s">
        <v>80</v>
      </c>
      <c r="D5" s="70" t="s">
        <v>40</v>
      </c>
      <c r="E5" s="70" t="s">
        <v>47</v>
      </c>
      <c r="F5" s="70" t="s">
        <v>81</v>
      </c>
      <c r="G5" s="71" t="s">
        <v>82</v>
      </c>
      <c r="H5" s="70" t="s">
        <v>99</v>
      </c>
      <c r="I5" s="70" t="s">
        <v>57</v>
      </c>
      <c r="J5" s="70" t="s">
        <v>83</v>
      </c>
      <c r="K5" s="407"/>
      <c r="L5" s="82" t="s">
        <v>100</v>
      </c>
      <c r="M5" s="407"/>
      <c r="N5" s="407"/>
      <c r="O5" s="427"/>
      <c r="P5" s="428"/>
      <c r="Q5" s="427"/>
      <c r="R5" s="428"/>
      <c r="S5" s="407"/>
      <c r="T5" s="427"/>
      <c r="U5" s="428"/>
      <c r="V5" s="24"/>
      <c r="W5" s="24"/>
    </row>
    <row r="6" spans="1:23" ht="30.75" customHeight="1" x14ac:dyDescent="0.2">
      <c r="A6" s="72" t="s">
        <v>84</v>
      </c>
      <c r="B6" s="73">
        <v>0</v>
      </c>
      <c r="C6" s="73">
        <v>0</v>
      </c>
      <c r="D6" s="73">
        <v>62200</v>
      </c>
      <c r="E6" s="73">
        <f t="shared" ref="E6:E9" si="0">ROUND(D6*46/100,0)</f>
        <v>28612</v>
      </c>
      <c r="F6" s="73">
        <v>1000</v>
      </c>
      <c r="G6" s="73">
        <v>0</v>
      </c>
      <c r="H6" s="73">
        <v>300</v>
      </c>
      <c r="I6" s="73">
        <v>75</v>
      </c>
      <c r="J6" s="73">
        <f t="shared" ref="J6:J17" si="1">ROUND((D6)*8/100,0)</f>
        <v>4976</v>
      </c>
      <c r="K6" s="75">
        <f t="shared" ref="K6:K17" si="2">SUM(D6:J6)</f>
        <v>97163</v>
      </c>
      <c r="L6" s="75">
        <v>20000</v>
      </c>
      <c r="M6" s="73">
        <v>800</v>
      </c>
      <c r="N6" s="73">
        <v>200</v>
      </c>
      <c r="O6" s="402">
        <v>0</v>
      </c>
      <c r="P6" s="180"/>
      <c r="Q6" s="403">
        <v>6000</v>
      </c>
      <c r="R6" s="180"/>
      <c r="S6" s="75">
        <f t="shared" ref="S6:S17" si="3">L6+M6+N6+O6+Q6</f>
        <v>27000</v>
      </c>
      <c r="T6" s="404">
        <f t="shared" ref="T6:T17" si="4">K6-S6</f>
        <v>70163</v>
      </c>
      <c r="U6" s="180"/>
      <c r="V6" s="24"/>
      <c r="W6" s="24"/>
    </row>
    <row r="7" spans="1:23" ht="30.75" customHeight="1" x14ac:dyDescent="0.2">
      <c r="A7" s="72" t="s">
        <v>85</v>
      </c>
      <c r="B7" s="73">
        <f t="shared" ref="B7:D7" si="5">B6</f>
        <v>0</v>
      </c>
      <c r="C7" s="73">
        <f t="shared" si="5"/>
        <v>0</v>
      </c>
      <c r="D7" s="73">
        <f t="shared" si="5"/>
        <v>62200</v>
      </c>
      <c r="E7" s="73">
        <f t="shared" si="0"/>
        <v>28612</v>
      </c>
      <c r="F7" s="73">
        <f t="shared" ref="F7:F17" si="6">F6</f>
        <v>1000</v>
      </c>
      <c r="G7" s="73">
        <v>0</v>
      </c>
      <c r="H7" s="73">
        <f t="shared" ref="H7:I7" si="7">H6</f>
        <v>300</v>
      </c>
      <c r="I7" s="73">
        <f t="shared" si="7"/>
        <v>75</v>
      </c>
      <c r="J7" s="73">
        <f t="shared" si="1"/>
        <v>4976</v>
      </c>
      <c r="K7" s="75">
        <f t="shared" si="2"/>
        <v>97163</v>
      </c>
      <c r="L7" s="75">
        <f t="shared" ref="L7:N7" si="8">L6</f>
        <v>20000</v>
      </c>
      <c r="M7" s="73">
        <f t="shared" si="8"/>
        <v>800</v>
      </c>
      <c r="N7" s="73">
        <f t="shared" si="8"/>
        <v>200</v>
      </c>
      <c r="O7" s="402">
        <v>0</v>
      </c>
      <c r="P7" s="180"/>
      <c r="Q7" s="403">
        <f t="shared" ref="Q7:Q14" si="9">Q6</f>
        <v>6000</v>
      </c>
      <c r="R7" s="180"/>
      <c r="S7" s="75">
        <f t="shared" si="3"/>
        <v>27000</v>
      </c>
      <c r="T7" s="404">
        <f t="shared" si="4"/>
        <v>70163</v>
      </c>
      <c r="U7" s="180"/>
      <c r="V7" s="24"/>
      <c r="W7" s="24"/>
    </row>
    <row r="8" spans="1:23" ht="30.75" customHeight="1" x14ac:dyDescent="0.2">
      <c r="A8" s="72" t="s">
        <v>86</v>
      </c>
      <c r="B8" s="73">
        <f t="shared" ref="B8:D8" si="10">B7</f>
        <v>0</v>
      </c>
      <c r="C8" s="73">
        <f t="shared" si="10"/>
        <v>0</v>
      </c>
      <c r="D8" s="73">
        <f t="shared" si="10"/>
        <v>62200</v>
      </c>
      <c r="E8" s="73">
        <f t="shared" si="0"/>
        <v>28612</v>
      </c>
      <c r="F8" s="73">
        <f t="shared" si="6"/>
        <v>1000</v>
      </c>
      <c r="G8" s="73">
        <v>0</v>
      </c>
      <c r="H8" s="73">
        <f t="shared" ref="H8:I8" si="11">H7</f>
        <v>300</v>
      </c>
      <c r="I8" s="73">
        <f t="shared" si="11"/>
        <v>75</v>
      </c>
      <c r="J8" s="73">
        <f t="shared" si="1"/>
        <v>4976</v>
      </c>
      <c r="K8" s="75">
        <f t="shared" si="2"/>
        <v>97163</v>
      </c>
      <c r="L8" s="75">
        <f t="shared" ref="L8:N8" si="12">L7</f>
        <v>20000</v>
      </c>
      <c r="M8" s="73">
        <f t="shared" si="12"/>
        <v>800</v>
      </c>
      <c r="N8" s="73">
        <f t="shared" si="12"/>
        <v>200</v>
      </c>
      <c r="O8" s="402">
        <v>0</v>
      </c>
      <c r="P8" s="180"/>
      <c r="Q8" s="403">
        <f t="shared" si="9"/>
        <v>6000</v>
      </c>
      <c r="R8" s="180"/>
      <c r="S8" s="75">
        <f t="shared" si="3"/>
        <v>27000</v>
      </c>
      <c r="T8" s="404">
        <f t="shared" si="4"/>
        <v>70163</v>
      </c>
      <c r="U8" s="180"/>
      <c r="V8" s="24"/>
      <c r="W8" s="35"/>
    </row>
    <row r="9" spans="1:23" ht="30.75" customHeight="1" x14ac:dyDescent="0.2">
      <c r="A9" s="72" t="s">
        <v>87</v>
      </c>
      <c r="B9" s="73">
        <f t="shared" ref="B9:D9" si="13">B8</f>
        <v>0</v>
      </c>
      <c r="C9" s="73">
        <f t="shared" si="13"/>
        <v>0</v>
      </c>
      <c r="D9" s="73">
        <f t="shared" si="13"/>
        <v>62200</v>
      </c>
      <c r="E9" s="73">
        <f t="shared" si="0"/>
        <v>28612</v>
      </c>
      <c r="F9" s="73">
        <f t="shared" si="6"/>
        <v>1000</v>
      </c>
      <c r="G9" s="73">
        <v>0</v>
      </c>
      <c r="H9" s="73">
        <f t="shared" ref="H9:I9" si="14">H8</f>
        <v>300</v>
      </c>
      <c r="I9" s="73">
        <f t="shared" si="14"/>
        <v>75</v>
      </c>
      <c r="J9" s="73">
        <f t="shared" si="1"/>
        <v>4976</v>
      </c>
      <c r="K9" s="75">
        <f t="shared" si="2"/>
        <v>97163</v>
      </c>
      <c r="L9" s="75">
        <f t="shared" ref="L9:N9" si="15">L8</f>
        <v>20000</v>
      </c>
      <c r="M9" s="73">
        <f t="shared" si="15"/>
        <v>800</v>
      </c>
      <c r="N9" s="73">
        <f t="shared" si="15"/>
        <v>200</v>
      </c>
      <c r="O9" s="402">
        <v>0</v>
      </c>
      <c r="P9" s="180"/>
      <c r="Q9" s="403">
        <f t="shared" si="9"/>
        <v>6000</v>
      </c>
      <c r="R9" s="180"/>
      <c r="S9" s="75">
        <f t="shared" si="3"/>
        <v>27000</v>
      </c>
      <c r="T9" s="404">
        <f t="shared" si="4"/>
        <v>70163</v>
      </c>
      <c r="U9" s="180"/>
      <c r="V9" s="24"/>
      <c r="W9" s="24"/>
    </row>
    <row r="10" spans="1:23" ht="30.75" customHeight="1" x14ac:dyDescent="0.2">
      <c r="A10" s="72" t="s">
        <v>88</v>
      </c>
      <c r="B10" s="73">
        <f>W10</f>
        <v>0</v>
      </c>
      <c r="C10" s="73">
        <f>C9</f>
        <v>0</v>
      </c>
      <c r="D10" s="73">
        <f>ROUND(D9*3/100,-2)+D9</f>
        <v>64100</v>
      </c>
      <c r="E10" s="73">
        <f t="shared" ref="E10:E17" si="16">ROUND(D10*50/100,0)</f>
        <v>32050</v>
      </c>
      <c r="F10" s="73">
        <f t="shared" si="6"/>
        <v>1000</v>
      </c>
      <c r="G10" s="73">
        <v>0</v>
      </c>
      <c r="H10" s="73">
        <f t="shared" ref="H10:I10" si="17">H9</f>
        <v>300</v>
      </c>
      <c r="I10" s="73">
        <f t="shared" si="17"/>
        <v>75</v>
      </c>
      <c r="J10" s="73">
        <f t="shared" si="1"/>
        <v>5128</v>
      </c>
      <c r="K10" s="75">
        <f t="shared" si="2"/>
        <v>102653</v>
      </c>
      <c r="L10" s="75">
        <f t="shared" ref="L10:N10" si="18">L9</f>
        <v>20000</v>
      </c>
      <c r="M10" s="73">
        <f t="shared" si="18"/>
        <v>800</v>
      </c>
      <c r="N10" s="73">
        <f t="shared" si="18"/>
        <v>200</v>
      </c>
      <c r="O10" s="402">
        <v>0</v>
      </c>
      <c r="P10" s="180"/>
      <c r="Q10" s="403">
        <f t="shared" si="9"/>
        <v>6000</v>
      </c>
      <c r="R10" s="180"/>
      <c r="S10" s="75">
        <f t="shared" si="3"/>
        <v>27000</v>
      </c>
      <c r="T10" s="404">
        <f t="shared" si="4"/>
        <v>75653</v>
      </c>
      <c r="U10" s="180"/>
      <c r="V10" s="24"/>
      <c r="W10" s="24">
        <f>ROUNDUP((B9+C9)*3/100,0-1)+B9</f>
        <v>0</v>
      </c>
    </row>
    <row r="11" spans="1:23" ht="30.75" customHeight="1" x14ac:dyDescent="0.2">
      <c r="A11" s="72" t="s">
        <v>89</v>
      </c>
      <c r="B11" s="73">
        <f t="shared" ref="B11:D11" si="19">B10</f>
        <v>0</v>
      </c>
      <c r="C11" s="73">
        <f t="shared" si="19"/>
        <v>0</v>
      </c>
      <c r="D11" s="73">
        <f t="shared" si="19"/>
        <v>64100</v>
      </c>
      <c r="E11" s="73">
        <f t="shared" si="16"/>
        <v>32050</v>
      </c>
      <c r="F11" s="73">
        <f t="shared" si="6"/>
        <v>1000</v>
      </c>
      <c r="G11" s="73">
        <f t="shared" ref="G11:I11" si="20">G10</f>
        <v>0</v>
      </c>
      <c r="H11" s="73">
        <f t="shared" si="20"/>
        <v>300</v>
      </c>
      <c r="I11" s="73">
        <f t="shared" si="20"/>
        <v>75</v>
      </c>
      <c r="J11" s="73">
        <f t="shared" si="1"/>
        <v>5128</v>
      </c>
      <c r="K11" s="75">
        <f t="shared" si="2"/>
        <v>102653</v>
      </c>
      <c r="L11" s="75">
        <f t="shared" ref="L11:N11" si="21">L10</f>
        <v>20000</v>
      </c>
      <c r="M11" s="73">
        <f t="shared" si="21"/>
        <v>800</v>
      </c>
      <c r="N11" s="73">
        <f t="shared" si="21"/>
        <v>200</v>
      </c>
      <c r="O11" s="402">
        <v>0</v>
      </c>
      <c r="P11" s="180"/>
      <c r="Q11" s="403">
        <f t="shared" si="9"/>
        <v>6000</v>
      </c>
      <c r="R11" s="180"/>
      <c r="S11" s="75">
        <f t="shared" si="3"/>
        <v>27000</v>
      </c>
      <c r="T11" s="404">
        <f t="shared" si="4"/>
        <v>75653</v>
      </c>
      <c r="U11" s="180"/>
      <c r="V11" s="24"/>
      <c r="W11" s="24"/>
    </row>
    <row r="12" spans="1:23" ht="30.75" customHeight="1" x14ac:dyDescent="0.2">
      <c r="A12" s="72" t="s">
        <v>201</v>
      </c>
      <c r="B12" s="73">
        <f t="shared" ref="B12:D12" si="22">B11</f>
        <v>0</v>
      </c>
      <c r="C12" s="73">
        <f t="shared" si="22"/>
        <v>0</v>
      </c>
      <c r="D12" s="73">
        <f t="shared" si="22"/>
        <v>64100</v>
      </c>
      <c r="E12" s="73">
        <f t="shared" si="16"/>
        <v>32050</v>
      </c>
      <c r="F12" s="73">
        <f t="shared" si="6"/>
        <v>1000</v>
      </c>
      <c r="G12" s="73">
        <f t="shared" ref="G12:I12" si="23">G11</f>
        <v>0</v>
      </c>
      <c r="H12" s="73">
        <f t="shared" si="23"/>
        <v>300</v>
      </c>
      <c r="I12" s="73">
        <f t="shared" si="23"/>
        <v>75</v>
      </c>
      <c r="J12" s="73">
        <f t="shared" si="1"/>
        <v>5128</v>
      </c>
      <c r="K12" s="75">
        <f t="shared" si="2"/>
        <v>102653</v>
      </c>
      <c r="L12" s="75">
        <f t="shared" ref="L12:N12" si="24">L11</f>
        <v>20000</v>
      </c>
      <c r="M12" s="73">
        <f t="shared" si="24"/>
        <v>800</v>
      </c>
      <c r="N12" s="73">
        <f t="shared" si="24"/>
        <v>200</v>
      </c>
      <c r="O12" s="402">
        <v>0</v>
      </c>
      <c r="P12" s="180"/>
      <c r="Q12" s="403">
        <f t="shared" si="9"/>
        <v>6000</v>
      </c>
      <c r="R12" s="180"/>
      <c r="S12" s="75">
        <f t="shared" si="3"/>
        <v>27000</v>
      </c>
      <c r="T12" s="404">
        <f t="shared" si="4"/>
        <v>75653</v>
      </c>
      <c r="U12" s="180"/>
      <c r="V12" s="24"/>
      <c r="W12" s="24"/>
    </row>
    <row r="13" spans="1:23" ht="30.75" customHeight="1" x14ac:dyDescent="0.2">
      <c r="A13" s="72" t="s">
        <v>202</v>
      </c>
      <c r="B13" s="73">
        <f t="shared" ref="B13:D13" si="25">B12</f>
        <v>0</v>
      </c>
      <c r="C13" s="73">
        <f t="shared" si="25"/>
        <v>0</v>
      </c>
      <c r="D13" s="73">
        <f t="shared" si="25"/>
        <v>64100</v>
      </c>
      <c r="E13" s="73">
        <f t="shared" si="16"/>
        <v>32050</v>
      </c>
      <c r="F13" s="73">
        <f t="shared" si="6"/>
        <v>1000</v>
      </c>
      <c r="G13" s="73">
        <f t="shared" ref="G13:I13" si="26">G12</f>
        <v>0</v>
      </c>
      <c r="H13" s="73">
        <f t="shared" si="26"/>
        <v>300</v>
      </c>
      <c r="I13" s="73">
        <f t="shared" si="26"/>
        <v>75</v>
      </c>
      <c r="J13" s="73">
        <f t="shared" si="1"/>
        <v>5128</v>
      </c>
      <c r="K13" s="75">
        <f t="shared" si="2"/>
        <v>102653</v>
      </c>
      <c r="L13" s="75">
        <f t="shared" ref="L13:N13" si="27">L12</f>
        <v>20000</v>
      </c>
      <c r="M13" s="73">
        <f t="shared" si="27"/>
        <v>800</v>
      </c>
      <c r="N13" s="73">
        <f t="shared" si="27"/>
        <v>200</v>
      </c>
      <c r="O13" s="402">
        <v>0</v>
      </c>
      <c r="P13" s="180"/>
      <c r="Q13" s="403">
        <f t="shared" si="9"/>
        <v>6000</v>
      </c>
      <c r="R13" s="180"/>
      <c r="S13" s="75">
        <f t="shared" si="3"/>
        <v>27000</v>
      </c>
      <c r="T13" s="404">
        <f t="shared" si="4"/>
        <v>75653</v>
      </c>
      <c r="U13" s="180"/>
      <c r="V13" s="24"/>
      <c r="W13" s="24"/>
    </row>
    <row r="14" spans="1:23" ht="30.75" customHeight="1" x14ac:dyDescent="0.2">
      <c r="A14" s="72" t="s">
        <v>203</v>
      </c>
      <c r="B14" s="73">
        <f t="shared" ref="B14:D14" si="28">B13</f>
        <v>0</v>
      </c>
      <c r="C14" s="73">
        <f t="shared" si="28"/>
        <v>0</v>
      </c>
      <c r="D14" s="73">
        <f t="shared" si="28"/>
        <v>64100</v>
      </c>
      <c r="E14" s="73">
        <f t="shared" si="16"/>
        <v>32050</v>
      </c>
      <c r="F14" s="73">
        <f t="shared" si="6"/>
        <v>1000</v>
      </c>
      <c r="G14" s="73">
        <f t="shared" ref="G14:I14" si="29">G13</f>
        <v>0</v>
      </c>
      <c r="H14" s="73">
        <f t="shared" si="29"/>
        <v>300</v>
      </c>
      <c r="I14" s="73">
        <f t="shared" si="29"/>
        <v>75</v>
      </c>
      <c r="J14" s="73">
        <f t="shared" si="1"/>
        <v>5128</v>
      </c>
      <c r="K14" s="75">
        <f t="shared" si="2"/>
        <v>102653</v>
      </c>
      <c r="L14" s="75">
        <f t="shared" ref="L14:N14" si="30">L13</f>
        <v>20000</v>
      </c>
      <c r="M14" s="73">
        <f t="shared" si="30"/>
        <v>800</v>
      </c>
      <c r="N14" s="73">
        <f t="shared" si="30"/>
        <v>200</v>
      </c>
      <c r="O14" s="402">
        <v>0</v>
      </c>
      <c r="P14" s="180"/>
      <c r="Q14" s="403">
        <f t="shared" si="9"/>
        <v>6000</v>
      </c>
      <c r="R14" s="180"/>
      <c r="S14" s="75">
        <f t="shared" si="3"/>
        <v>27000</v>
      </c>
      <c r="T14" s="404">
        <f t="shared" si="4"/>
        <v>75653</v>
      </c>
      <c r="U14" s="180"/>
      <c r="V14" s="24"/>
      <c r="W14" s="24"/>
    </row>
    <row r="15" spans="1:23" ht="30.75" customHeight="1" x14ac:dyDescent="0.2">
      <c r="A15" s="72" t="s">
        <v>204</v>
      </c>
      <c r="B15" s="73">
        <f t="shared" ref="B15:D15" si="31">B14</f>
        <v>0</v>
      </c>
      <c r="C15" s="73">
        <f t="shared" si="31"/>
        <v>0</v>
      </c>
      <c r="D15" s="73">
        <f t="shared" si="31"/>
        <v>64100</v>
      </c>
      <c r="E15" s="73">
        <f t="shared" si="16"/>
        <v>32050</v>
      </c>
      <c r="F15" s="73">
        <f t="shared" si="6"/>
        <v>1000</v>
      </c>
      <c r="G15" s="73">
        <f t="shared" ref="G15:I15" si="32">G14</f>
        <v>0</v>
      </c>
      <c r="H15" s="73">
        <f t="shared" si="32"/>
        <v>300</v>
      </c>
      <c r="I15" s="73">
        <f t="shared" si="32"/>
        <v>75</v>
      </c>
      <c r="J15" s="73">
        <f t="shared" si="1"/>
        <v>5128</v>
      </c>
      <c r="K15" s="75">
        <f t="shared" si="2"/>
        <v>102653</v>
      </c>
      <c r="L15" s="75">
        <f t="shared" ref="L15:N15" si="33">L14</f>
        <v>20000</v>
      </c>
      <c r="M15" s="73">
        <f t="shared" si="33"/>
        <v>800</v>
      </c>
      <c r="N15" s="73">
        <f t="shared" si="33"/>
        <v>200</v>
      </c>
      <c r="O15" s="402">
        <v>0</v>
      </c>
      <c r="P15" s="180"/>
      <c r="Q15" s="403">
        <f t="shared" ref="Q15:Q17" si="34">M87</f>
        <v>6400</v>
      </c>
      <c r="R15" s="180"/>
      <c r="S15" s="75">
        <f t="shared" si="3"/>
        <v>27400</v>
      </c>
      <c r="T15" s="404">
        <f t="shared" si="4"/>
        <v>75253</v>
      </c>
      <c r="U15" s="180"/>
      <c r="V15" s="24"/>
      <c r="W15" s="24"/>
    </row>
    <row r="16" spans="1:23" ht="30.75" customHeight="1" x14ac:dyDescent="0.2">
      <c r="A16" s="72" t="s">
        <v>205</v>
      </c>
      <c r="B16" s="73">
        <f t="shared" ref="B16:D16" si="35">B15</f>
        <v>0</v>
      </c>
      <c r="C16" s="73">
        <f t="shared" si="35"/>
        <v>0</v>
      </c>
      <c r="D16" s="73">
        <f t="shared" si="35"/>
        <v>64100</v>
      </c>
      <c r="E16" s="73">
        <f t="shared" si="16"/>
        <v>32050</v>
      </c>
      <c r="F16" s="73">
        <f t="shared" si="6"/>
        <v>1000</v>
      </c>
      <c r="G16" s="73">
        <f t="shared" ref="G16:I16" si="36">G15</f>
        <v>0</v>
      </c>
      <c r="H16" s="73">
        <f t="shared" si="36"/>
        <v>300</v>
      </c>
      <c r="I16" s="73">
        <f t="shared" si="36"/>
        <v>75</v>
      </c>
      <c r="J16" s="73">
        <f t="shared" si="1"/>
        <v>5128</v>
      </c>
      <c r="K16" s="75">
        <f t="shared" si="2"/>
        <v>102653</v>
      </c>
      <c r="L16" s="75">
        <f t="shared" ref="L16:N16" si="37">L15</f>
        <v>20000</v>
      </c>
      <c r="M16" s="73">
        <f t="shared" si="37"/>
        <v>800</v>
      </c>
      <c r="N16" s="73">
        <f t="shared" si="37"/>
        <v>200</v>
      </c>
      <c r="O16" s="402">
        <v>0</v>
      </c>
      <c r="P16" s="180"/>
      <c r="Q16" s="403">
        <f t="shared" si="34"/>
        <v>6400</v>
      </c>
      <c r="R16" s="180"/>
      <c r="S16" s="75">
        <f t="shared" si="3"/>
        <v>27400</v>
      </c>
      <c r="T16" s="404">
        <f t="shared" si="4"/>
        <v>75253</v>
      </c>
      <c r="U16" s="180"/>
      <c r="V16" s="24"/>
      <c r="W16" s="24"/>
    </row>
    <row r="17" spans="1:23" ht="30.75" customHeight="1" x14ac:dyDescent="0.2">
      <c r="A17" s="72" t="s">
        <v>206</v>
      </c>
      <c r="B17" s="73">
        <f t="shared" ref="B17:D17" si="38">B16</f>
        <v>0</v>
      </c>
      <c r="C17" s="73">
        <f t="shared" si="38"/>
        <v>0</v>
      </c>
      <c r="D17" s="73">
        <f t="shared" si="38"/>
        <v>64100</v>
      </c>
      <c r="E17" s="73">
        <f t="shared" si="16"/>
        <v>32050</v>
      </c>
      <c r="F17" s="73">
        <f t="shared" si="6"/>
        <v>1000</v>
      </c>
      <c r="G17" s="73">
        <f t="shared" ref="G17:I17" si="39">G16</f>
        <v>0</v>
      </c>
      <c r="H17" s="73">
        <f t="shared" si="39"/>
        <v>300</v>
      </c>
      <c r="I17" s="73">
        <f t="shared" si="39"/>
        <v>75</v>
      </c>
      <c r="J17" s="73">
        <f t="shared" si="1"/>
        <v>5128</v>
      </c>
      <c r="K17" s="75">
        <f t="shared" si="2"/>
        <v>102653</v>
      </c>
      <c r="L17" s="75">
        <f t="shared" ref="L17:N17" si="40">L16</f>
        <v>20000</v>
      </c>
      <c r="M17" s="73">
        <f t="shared" si="40"/>
        <v>800</v>
      </c>
      <c r="N17" s="73">
        <f t="shared" si="40"/>
        <v>200</v>
      </c>
      <c r="O17" s="402">
        <v>0</v>
      </c>
      <c r="P17" s="180"/>
      <c r="Q17" s="403">
        <f t="shared" si="34"/>
        <v>6250</v>
      </c>
      <c r="R17" s="180"/>
      <c r="S17" s="75">
        <f t="shared" si="3"/>
        <v>27250</v>
      </c>
      <c r="T17" s="404">
        <f t="shared" si="4"/>
        <v>75403</v>
      </c>
      <c r="U17" s="180"/>
      <c r="V17" s="24"/>
      <c r="W17" s="24"/>
    </row>
    <row r="18" spans="1:23" ht="30.75" customHeight="1" x14ac:dyDescent="0.2">
      <c r="A18" s="74"/>
      <c r="B18" s="75">
        <f>SUM(B6:B17)</f>
        <v>0</v>
      </c>
      <c r="C18" s="73">
        <f>C17</f>
        <v>0</v>
      </c>
      <c r="D18" s="75">
        <f t="shared" ref="D18:O18" si="41">SUM(D6:D17)</f>
        <v>761600</v>
      </c>
      <c r="E18" s="75">
        <f t="shared" si="41"/>
        <v>370848</v>
      </c>
      <c r="F18" s="76">
        <f t="shared" si="41"/>
        <v>12000</v>
      </c>
      <c r="G18" s="75">
        <f t="shared" si="41"/>
        <v>0</v>
      </c>
      <c r="H18" s="75">
        <f t="shared" si="41"/>
        <v>3600</v>
      </c>
      <c r="I18" s="75">
        <f t="shared" si="41"/>
        <v>900</v>
      </c>
      <c r="J18" s="75">
        <f t="shared" si="41"/>
        <v>60928</v>
      </c>
      <c r="K18" s="76">
        <f t="shared" si="41"/>
        <v>1209876</v>
      </c>
      <c r="L18" s="76">
        <f t="shared" si="41"/>
        <v>240000</v>
      </c>
      <c r="M18" s="75">
        <f t="shared" si="41"/>
        <v>9600</v>
      </c>
      <c r="N18" s="75">
        <f t="shared" si="41"/>
        <v>2400</v>
      </c>
      <c r="O18" s="402">
        <f t="shared" si="41"/>
        <v>0</v>
      </c>
      <c r="P18" s="180"/>
      <c r="Q18" s="403">
        <f>SUM(Q6:Q17)</f>
        <v>73050</v>
      </c>
      <c r="R18" s="180"/>
      <c r="S18" s="75">
        <f t="shared" ref="S18:T18" si="42">SUM(S6:S17)</f>
        <v>325050</v>
      </c>
      <c r="T18" s="404">
        <f t="shared" si="42"/>
        <v>884826</v>
      </c>
      <c r="U18" s="180"/>
      <c r="V18" s="24"/>
      <c r="W18" s="24"/>
    </row>
    <row r="19" spans="1:23" ht="18.75" customHeight="1" x14ac:dyDescent="0.2">
      <c r="A19" s="206" t="s">
        <v>255</v>
      </c>
      <c r="B19" s="182"/>
      <c r="C19" s="178"/>
      <c r="D19" s="220">
        <v>0</v>
      </c>
      <c r="E19" s="180"/>
      <c r="F19" s="77"/>
      <c r="G19" s="77"/>
      <c r="H19" s="77"/>
      <c r="I19" s="77"/>
      <c r="J19" s="77"/>
      <c r="K19" s="77"/>
      <c r="L19" s="77"/>
      <c r="M19" s="77"/>
      <c r="N19" s="77"/>
      <c r="O19" s="77"/>
      <c r="P19" s="83"/>
      <c r="Q19" s="83"/>
      <c r="R19" s="83"/>
      <c r="S19" s="83"/>
      <c r="T19" s="83"/>
      <c r="U19" s="83"/>
      <c r="V19" s="24"/>
      <c r="W19" s="24"/>
    </row>
    <row r="20" spans="1:23" ht="18.75" customHeight="1" x14ac:dyDescent="0.2">
      <c r="A20" s="206" t="s">
        <v>256</v>
      </c>
      <c r="B20" s="182"/>
      <c r="C20" s="178"/>
      <c r="D20" s="220">
        <v>0</v>
      </c>
      <c r="E20" s="180"/>
      <c r="F20" s="77"/>
      <c r="G20" s="77"/>
      <c r="H20" s="77"/>
      <c r="I20" s="77"/>
      <c r="J20" s="77"/>
      <c r="K20" s="77"/>
      <c r="L20" s="77"/>
      <c r="M20" s="77"/>
      <c r="N20" s="77"/>
      <c r="O20" s="77"/>
      <c r="P20" s="83"/>
      <c r="Q20" s="83"/>
      <c r="R20" s="83"/>
      <c r="S20" s="83"/>
      <c r="T20" s="83"/>
      <c r="U20" s="83"/>
      <c r="V20" s="24"/>
      <c r="W20" s="24"/>
    </row>
    <row r="21" spans="1:23" ht="18.75" customHeight="1" x14ac:dyDescent="0.2">
      <c r="A21" s="206" t="s">
        <v>25</v>
      </c>
      <c r="B21" s="182"/>
      <c r="C21" s="178"/>
      <c r="D21" s="220">
        <v>0</v>
      </c>
      <c r="E21" s="180"/>
      <c r="F21" s="77"/>
      <c r="G21" s="77"/>
      <c r="H21" s="77"/>
      <c r="I21" s="77"/>
      <c r="J21" s="77"/>
      <c r="K21" s="77"/>
      <c r="L21" s="77"/>
      <c r="M21" s="77"/>
      <c r="N21" s="77"/>
      <c r="O21" s="77"/>
      <c r="P21" s="83"/>
      <c r="Q21" s="83"/>
      <c r="R21" s="83"/>
      <c r="S21" s="83"/>
      <c r="T21" s="83"/>
      <c r="U21" s="83"/>
      <c r="V21" s="24"/>
      <c r="W21" s="24"/>
    </row>
    <row r="22" spans="1:23" ht="18.75" customHeight="1" x14ac:dyDescent="0.2">
      <c r="A22" s="214" t="s">
        <v>26</v>
      </c>
      <c r="B22" s="206"/>
      <c r="C22" s="215"/>
      <c r="D22" s="220">
        <v>0</v>
      </c>
      <c r="E22" s="180"/>
      <c r="F22" s="77"/>
      <c r="G22" s="77"/>
      <c r="H22" s="77"/>
      <c r="I22" s="77"/>
      <c r="J22" s="77"/>
      <c r="K22" s="77"/>
      <c r="L22" s="77"/>
      <c r="M22" s="77"/>
      <c r="N22" s="77"/>
      <c r="O22" s="77"/>
      <c r="P22" s="83"/>
      <c r="Q22" s="83"/>
      <c r="R22" s="83"/>
      <c r="S22" s="83"/>
      <c r="T22" s="83"/>
      <c r="U22" s="83"/>
      <c r="V22" s="24"/>
      <c r="W22" s="24"/>
    </row>
    <row r="23" spans="1:23" ht="15.75" customHeight="1" x14ac:dyDescent="0.2">
      <c r="A23" s="214" t="s">
        <v>33</v>
      </c>
      <c r="B23" s="206"/>
      <c r="C23" s="215"/>
      <c r="D23" s="220">
        <v>0</v>
      </c>
      <c r="E23" s="180"/>
      <c r="F23" s="77"/>
      <c r="G23" s="77"/>
      <c r="H23" s="77"/>
      <c r="I23" s="77"/>
      <c r="J23" s="77"/>
      <c r="K23" s="77"/>
      <c r="L23" s="77"/>
      <c r="M23" s="77"/>
      <c r="N23" s="77"/>
      <c r="O23" s="77"/>
      <c r="P23" s="83"/>
      <c r="Q23" s="83"/>
      <c r="R23" s="83"/>
      <c r="S23" s="83"/>
      <c r="T23" s="83"/>
      <c r="U23" s="83"/>
      <c r="V23" s="24"/>
      <c r="W23" s="24"/>
    </row>
    <row r="24" spans="1:23" ht="18" customHeight="1" x14ac:dyDescent="0.2">
      <c r="A24" s="214" t="s">
        <v>36</v>
      </c>
      <c r="B24" s="206"/>
      <c r="C24" s="215"/>
      <c r="D24" s="220">
        <v>0</v>
      </c>
      <c r="E24" s="180"/>
      <c r="F24" s="77"/>
      <c r="G24" s="77"/>
      <c r="H24" s="77"/>
      <c r="I24" s="77"/>
      <c r="J24" s="77"/>
      <c r="K24" s="77"/>
      <c r="L24" s="77"/>
      <c r="M24" s="77"/>
      <c r="N24" s="77"/>
      <c r="O24" s="77"/>
      <c r="P24" s="83"/>
      <c r="Q24" s="83"/>
      <c r="R24" s="83"/>
      <c r="S24" s="83"/>
      <c r="T24" s="83"/>
      <c r="U24" s="83"/>
      <c r="V24" s="24"/>
      <c r="W24" s="24"/>
    </row>
    <row r="25" spans="1:23" ht="18" customHeight="1" x14ac:dyDescent="0.2">
      <c r="A25" s="214" t="s">
        <v>38</v>
      </c>
      <c r="B25" s="206"/>
      <c r="C25" s="215"/>
      <c r="D25" s="220">
        <v>0</v>
      </c>
      <c r="E25" s="180"/>
      <c r="F25" s="77"/>
      <c r="G25" s="77"/>
      <c r="H25" s="77"/>
      <c r="I25" s="77"/>
      <c r="J25" s="77"/>
      <c r="K25" s="77"/>
      <c r="L25" s="77"/>
      <c r="M25" s="77"/>
      <c r="N25" s="77"/>
      <c r="O25" s="77"/>
      <c r="P25" s="83"/>
      <c r="Q25" s="83"/>
      <c r="R25" s="83"/>
      <c r="S25" s="83"/>
      <c r="T25" s="83"/>
      <c r="U25" s="83"/>
      <c r="V25" s="24"/>
      <c r="W25" s="24"/>
    </row>
    <row r="26" spans="1:23" ht="18.75" customHeight="1" x14ac:dyDescent="0.2">
      <c r="A26" s="408"/>
      <c r="B26" s="184"/>
      <c r="C26" s="180"/>
      <c r="D26" s="220"/>
      <c r="E26" s="180"/>
      <c r="F26" s="77"/>
      <c r="G26" s="77"/>
      <c r="H26" s="77"/>
      <c r="I26" s="77"/>
      <c r="J26" s="77"/>
      <c r="K26" s="77"/>
      <c r="L26" s="77"/>
      <c r="M26" s="77"/>
      <c r="N26" s="77"/>
      <c r="O26" s="77"/>
      <c r="P26" s="83"/>
      <c r="Q26" s="83"/>
      <c r="R26" s="83"/>
      <c r="S26" s="83"/>
      <c r="T26" s="83"/>
      <c r="U26" s="83"/>
      <c r="V26" s="24"/>
      <c r="W26" s="24"/>
    </row>
    <row r="27" spans="1:23" ht="18.75" customHeight="1" x14ac:dyDescent="0.2">
      <c r="A27" s="408"/>
      <c r="B27" s="184"/>
      <c r="C27" s="180"/>
      <c r="D27" s="220"/>
      <c r="E27" s="180"/>
      <c r="F27" s="77"/>
      <c r="G27" s="77"/>
      <c r="H27" s="77"/>
      <c r="I27" s="77"/>
      <c r="J27" s="77"/>
      <c r="K27" s="77"/>
      <c r="L27" s="77"/>
      <c r="M27" s="77"/>
      <c r="N27" s="77"/>
      <c r="O27" s="77"/>
      <c r="P27" s="83"/>
      <c r="Q27" s="83"/>
      <c r="R27" s="83"/>
      <c r="S27" s="83"/>
      <c r="T27" s="83"/>
      <c r="U27" s="83"/>
      <c r="V27" s="24"/>
      <c r="W27" s="24"/>
    </row>
    <row r="28" spans="1:23" ht="17.25" customHeight="1" x14ac:dyDescent="0.2">
      <c r="A28" s="391" t="s">
        <v>102</v>
      </c>
      <c r="B28" s="303"/>
      <c r="C28" s="409" t="s">
        <v>4</v>
      </c>
      <c r="D28" s="410"/>
      <c r="E28" s="410"/>
      <c r="F28" s="411" t="s">
        <v>4</v>
      </c>
      <c r="G28" s="410"/>
      <c r="H28" s="410"/>
      <c r="I28" s="410"/>
      <c r="J28" s="410"/>
      <c r="K28" s="410"/>
      <c r="L28" s="410"/>
      <c r="M28" s="410"/>
      <c r="N28" s="410"/>
      <c r="O28" s="392" t="str">
        <f>DATA!K6</f>
        <v>પ્રા.શાળા</v>
      </c>
      <c r="P28" s="303"/>
      <c r="Q28" s="306"/>
      <c r="R28" s="36"/>
      <c r="S28" s="36"/>
      <c r="T28" s="36"/>
      <c r="U28" s="36"/>
      <c r="V28" s="36"/>
      <c r="W28" s="36"/>
    </row>
    <row r="29" spans="1:23" ht="17.25" customHeight="1" x14ac:dyDescent="0.2">
      <c r="A29" s="302" t="s">
        <v>208</v>
      </c>
      <c r="B29" s="303"/>
      <c r="C29" s="304" t="str">
        <f>DATA!E13</f>
        <v>2025-2026</v>
      </c>
      <c r="D29" s="303"/>
      <c r="E29" s="303"/>
      <c r="F29" s="12"/>
      <c r="G29" s="12"/>
      <c r="H29" s="12"/>
      <c r="I29" s="12"/>
      <c r="J29" s="305" t="s">
        <v>104</v>
      </c>
      <c r="K29" s="303"/>
      <c r="L29" s="303"/>
      <c r="M29" s="303"/>
      <c r="N29" s="304" t="str">
        <f>DATA!O13</f>
        <v>2026 - 2027</v>
      </c>
      <c r="O29" s="303"/>
      <c r="P29" s="303"/>
      <c r="Q29" s="306"/>
      <c r="R29" s="24"/>
      <c r="S29" s="24"/>
      <c r="T29" s="24"/>
      <c r="U29" s="24"/>
      <c r="V29" s="24"/>
      <c r="W29" s="24"/>
    </row>
    <row r="30" spans="1:23" ht="17.25" customHeight="1" x14ac:dyDescent="0.2">
      <c r="A30" s="13"/>
      <c r="B30" s="307" t="s">
        <v>105</v>
      </c>
      <c r="C30" s="303"/>
      <c r="D30" s="303"/>
      <c r="E30" s="303"/>
      <c r="F30" s="412" t="s">
        <v>8</v>
      </c>
      <c r="G30" s="410"/>
      <c r="H30" s="410"/>
      <c r="I30" s="410"/>
      <c r="J30" s="410"/>
      <c r="K30" s="413" t="s">
        <v>209</v>
      </c>
      <c r="L30" s="410"/>
      <c r="M30" s="410"/>
      <c r="N30" s="413" t="s">
        <v>210</v>
      </c>
      <c r="O30" s="410"/>
      <c r="P30" s="410"/>
      <c r="Q30" s="414"/>
      <c r="R30" s="24"/>
      <c r="S30" s="24"/>
      <c r="T30" s="24"/>
      <c r="U30" s="24"/>
      <c r="V30" s="24"/>
      <c r="W30" s="24"/>
    </row>
    <row r="31" spans="1:23" ht="17.25" customHeight="1" x14ac:dyDescent="0.2">
      <c r="A31" s="14"/>
      <c r="B31" s="310" t="s">
        <v>106</v>
      </c>
      <c r="C31" s="294"/>
      <c r="D31" s="294"/>
      <c r="E31" s="294"/>
      <c r="F31" s="311" t="str">
        <f>F30</f>
        <v>PATEL</v>
      </c>
      <c r="G31" s="272"/>
      <c r="H31" s="272"/>
      <c r="I31" s="272"/>
      <c r="J31" s="272"/>
      <c r="K31" s="312" t="str">
        <f>N30</f>
        <v>KACHARABHAI</v>
      </c>
      <c r="L31" s="272"/>
      <c r="M31" s="272"/>
      <c r="N31" s="272"/>
      <c r="O31" s="312"/>
      <c r="P31" s="272"/>
      <c r="Q31" s="273"/>
      <c r="R31" s="24"/>
      <c r="S31" s="24"/>
      <c r="T31" s="24"/>
      <c r="U31" s="24"/>
      <c r="V31" s="24"/>
      <c r="W31" s="24"/>
    </row>
    <row r="32" spans="1:23" ht="9" customHeight="1" x14ac:dyDescent="0.2">
      <c r="A32" s="379"/>
      <c r="B32" s="386" t="s">
        <v>107</v>
      </c>
      <c r="C32" s="293"/>
      <c r="D32" s="293"/>
      <c r="E32" s="291"/>
      <c r="F32" s="432" t="s">
        <v>211</v>
      </c>
      <c r="G32" s="201"/>
      <c r="H32" s="201"/>
      <c r="I32" s="201"/>
      <c r="J32" s="201"/>
      <c r="K32" s="201"/>
      <c r="L32" s="201"/>
      <c r="M32" s="201"/>
      <c r="N32" s="201"/>
      <c r="O32" s="201"/>
      <c r="P32" s="201"/>
      <c r="Q32" s="433"/>
      <c r="R32" s="24"/>
      <c r="S32" s="24"/>
      <c r="T32" s="24"/>
      <c r="U32" s="24"/>
      <c r="V32" s="24"/>
      <c r="W32" s="24"/>
    </row>
    <row r="33" spans="1:23" ht="7.5" customHeight="1" x14ac:dyDescent="0.2">
      <c r="A33" s="380"/>
      <c r="B33" s="362"/>
      <c r="C33" s="377"/>
      <c r="D33" s="377"/>
      <c r="E33" s="387"/>
      <c r="F33" s="427"/>
      <c r="G33" s="434"/>
      <c r="H33" s="434"/>
      <c r="I33" s="434"/>
      <c r="J33" s="434"/>
      <c r="K33" s="434"/>
      <c r="L33" s="434"/>
      <c r="M33" s="434"/>
      <c r="N33" s="434"/>
      <c r="O33" s="434"/>
      <c r="P33" s="434"/>
      <c r="Q33" s="435"/>
      <c r="R33" s="24"/>
      <c r="S33" s="24"/>
      <c r="T33" s="24"/>
      <c r="U33" s="24"/>
      <c r="V33" s="24"/>
      <c r="W33" s="24"/>
    </row>
    <row r="34" spans="1:23" ht="15" customHeight="1" x14ac:dyDescent="0.2">
      <c r="A34" s="380"/>
      <c r="B34" s="362"/>
      <c r="C34" s="377"/>
      <c r="D34" s="377"/>
      <c r="E34" s="387"/>
      <c r="F34" s="313" t="s">
        <v>108</v>
      </c>
      <c r="G34" s="275"/>
      <c r="H34" s="275"/>
      <c r="I34" s="275"/>
      <c r="J34" s="275"/>
      <c r="K34" s="276"/>
      <c r="L34" s="415" t="s">
        <v>11</v>
      </c>
      <c r="M34" s="184"/>
      <c r="N34" s="184"/>
      <c r="O34" s="184"/>
      <c r="P34" s="184"/>
      <c r="Q34" s="229"/>
      <c r="R34" s="24"/>
      <c r="S34" s="24"/>
      <c r="T34" s="24"/>
      <c r="U34" s="24"/>
      <c r="V34" s="24"/>
      <c r="W34" s="24"/>
    </row>
    <row r="35" spans="1:23" ht="15.75" customHeight="1" x14ac:dyDescent="0.2">
      <c r="A35" s="381"/>
      <c r="B35" s="294"/>
      <c r="C35" s="294"/>
      <c r="D35" s="294"/>
      <c r="E35" s="292"/>
      <c r="F35" s="316" t="s">
        <v>109</v>
      </c>
      <c r="G35" s="275"/>
      <c r="H35" s="275"/>
      <c r="I35" s="275"/>
      <c r="J35" s="275"/>
      <c r="K35" s="276"/>
      <c r="L35" s="415">
        <v>382028</v>
      </c>
      <c r="M35" s="184"/>
      <c r="N35" s="184"/>
      <c r="O35" s="184"/>
      <c r="P35" s="184"/>
      <c r="Q35" s="229"/>
      <c r="R35" s="24"/>
      <c r="S35" s="24"/>
      <c r="T35" s="24"/>
      <c r="U35" s="24"/>
      <c r="V35" s="24"/>
      <c r="W35" s="24"/>
    </row>
    <row r="36" spans="1:23" ht="15.75" customHeight="1" x14ac:dyDescent="0.2">
      <c r="A36" s="15"/>
      <c r="B36" s="318" t="s">
        <v>110</v>
      </c>
      <c r="C36" s="276"/>
      <c r="D36" s="416" t="s">
        <v>16</v>
      </c>
      <c r="E36" s="180"/>
      <c r="F36" s="320" t="s">
        <v>18</v>
      </c>
      <c r="G36" s="275"/>
      <c r="H36" s="275"/>
      <c r="I36" s="275"/>
      <c r="J36" s="275"/>
      <c r="K36" s="275"/>
      <c r="L36" s="276"/>
      <c r="M36" s="417">
        <v>28054</v>
      </c>
      <c r="N36" s="184"/>
      <c r="O36" s="184"/>
      <c r="P36" s="184"/>
      <c r="Q36" s="229"/>
      <c r="R36" s="24"/>
      <c r="S36" s="24"/>
      <c r="T36" s="24"/>
      <c r="U36" s="24"/>
      <c r="V36" s="24"/>
      <c r="W36" s="24"/>
    </row>
    <row r="37" spans="1:23" ht="17.25" customHeight="1" x14ac:dyDescent="0.2">
      <c r="A37" s="15"/>
      <c r="B37" s="318" t="s">
        <v>15</v>
      </c>
      <c r="C37" s="275"/>
      <c r="D37" s="275"/>
      <c r="E37" s="276"/>
      <c r="F37" s="416"/>
      <c r="G37" s="184"/>
      <c r="H37" s="184"/>
      <c r="I37" s="184"/>
      <c r="J37" s="184"/>
      <c r="K37" s="184"/>
      <c r="L37" s="184"/>
      <c r="M37" s="184"/>
      <c r="N37" s="184"/>
      <c r="O37" s="184"/>
      <c r="P37" s="184"/>
      <c r="Q37" s="229"/>
      <c r="R37" s="24"/>
      <c r="S37" s="24"/>
      <c r="T37" s="24"/>
      <c r="U37" s="24"/>
      <c r="V37" s="24"/>
      <c r="W37" s="24"/>
    </row>
    <row r="38" spans="1:23" ht="17.25" customHeight="1" x14ac:dyDescent="0.2">
      <c r="A38" s="15"/>
      <c r="B38" s="318" t="s">
        <v>111</v>
      </c>
      <c r="C38" s="275"/>
      <c r="D38" s="275"/>
      <c r="E38" s="275"/>
      <c r="F38" s="418" t="s">
        <v>212</v>
      </c>
      <c r="G38" s="184"/>
      <c r="H38" s="184"/>
      <c r="I38" s="184"/>
      <c r="J38" s="184"/>
      <c r="K38" s="184"/>
      <c r="L38" s="184"/>
      <c r="M38" s="184"/>
      <c r="N38" s="184"/>
      <c r="O38" s="184"/>
      <c r="P38" s="184"/>
      <c r="Q38" s="229"/>
      <c r="R38" s="24"/>
      <c r="S38" s="24"/>
      <c r="T38" s="24"/>
      <c r="U38" s="24"/>
      <c r="V38" s="24"/>
      <c r="W38" s="24"/>
    </row>
    <row r="39" spans="1:23" ht="17.25" customHeight="1" x14ac:dyDescent="0.2">
      <c r="A39" s="16"/>
      <c r="B39" s="325" t="s">
        <v>112</v>
      </c>
      <c r="C39" s="326"/>
      <c r="D39" s="326"/>
      <c r="E39" s="326"/>
      <c r="F39" s="327"/>
      <c r="G39" s="326"/>
      <c r="H39" s="326"/>
      <c r="I39" s="326"/>
      <c r="J39" s="326"/>
      <c r="K39" s="25"/>
      <c r="L39" s="84" t="s">
        <v>213</v>
      </c>
      <c r="M39" s="25"/>
      <c r="N39" s="25"/>
      <c r="O39" s="25"/>
      <c r="P39" s="25"/>
      <c r="Q39" s="37"/>
      <c r="R39" s="24"/>
      <c r="S39" s="24"/>
      <c r="T39" s="24"/>
      <c r="U39" s="24"/>
      <c r="V39" s="24"/>
      <c r="W39" s="24"/>
    </row>
    <row r="40" spans="1:23" ht="15" customHeight="1" x14ac:dyDescent="0.2">
      <c r="A40" s="17" t="s">
        <v>113</v>
      </c>
      <c r="B40" s="328" t="s">
        <v>114</v>
      </c>
      <c r="C40" s="272"/>
      <c r="D40" s="272"/>
      <c r="E40" s="272"/>
      <c r="F40" s="272"/>
      <c r="G40" s="272"/>
      <c r="H40" s="272"/>
      <c r="I40" s="272"/>
      <c r="J40" s="272"/>
      <c r="K40" s="272"/>
      <c r="L40" s="329"/>
      <c r="M40" s="328" t="s">
        <v>115</v>
      </c>
      <c r="N40" s="272"/>
      <c r="O40" s="272"/>
      <c r="P40" s="272"/>
      <c r="Q40" s="273"/>
      <c r="R40" s="24"/>
      <c r="S40" s="24"/>
      <c r="T40" s="24"/>
      <c r="U40" s="24"/>
      <c r="V40" s="24"/>
      <c r="W40" s="24"/>
    </row>
    <row r="41" spans="1:23" ht="15" customHeight="1" x14ac:dyDescent="0.2">
      <c r="A41" s="18">
        <v>1</v>
      </c>
      <c r="B41" s="323" t="s">
        <v>116</v>
      </c>
      <c r="C41" s="275"/>
      <c r="D41" s="275"/>
      <c r="E41" s="275"/>
      <c r="F41" s="275"/>
      <c r="G41" s="275"/>
      <c r="H41" s="275"/>
      <c r="I41" s="275"/>
      <c r="J41" s="275"/>
      <c r="K41" s="275"/>
      <c r="L41" s="276"/>
      <c r="M41" s="330"/>
      <c r="N41" s="276"/>
      <c r="O41" s="331">
        <f>C118</f>
        <v>1209876</v>
      </c>
      <c r="P41" s="275"/>
      <c r="Q41" s="315"/>
      <c r="R41" s="24"/>
      <c r="S41" s="24"/>
      <c r="T41" s="24"/>
      <c r="U41" s="24"/>
      <c r="V41" s="24"/>
      <c r="W41" s="24"/>
    </row>
    <row r="42" spans="1:23" ht="15" customHeight="1" x14ac:dyDescent="0.2">
      <c r="A42" s="19">
        <v>2</v>
      </c>
      <c r="B42" s="332" t="s">
        <v>117</v>
      </c>
      <c r="C42" s="275"/>
      <c r="D42" s="275"/>
      <c r="E42" s="275"/>
      <c r="F42" s="275"/>
      <c r="G42" s="275"/>
      <c r="H42" s="275"/>
      <c r="I42" s="275"/>
      <c r="J42" s="275"/>
      <c r="K42" s="275"/>
      <c r="L42" s="276"/>
      <c r="M42" s="330"/>
      <c r="N42" s="276"/>
      <c r="O42" s="333"/>
      <c r="P42" s="275"/>
      <c r="Q42" s="315"/>
      <c r="R42" s="24"/>
      <c r="S42" s="24"/>
      <c r="T42" s="24"/>
      <c r="U42" s="24"/>
      <c r="V42" s="24"/>
      <c r="W42" s="24"/>
    </row>
    <row r="43" spans="1:23" ht="15" customHeight="1" x14ac:dyDescent="0.2">
      <c r="A43" s="19"/>
      <c r="B43" s="20">
        <v>1</v>
      </c>
      <c r="C43" s="323" t="s">
        <v>242</v>
      </c>
      <c r="D43" s="275"/>
      <c r="E43" s="275"/>
      <c r="F43" s="275"/>
      <c r="G43" s="275"/>
      <c r="H43" s="275"/>
      <c r="I43" s="275"/>
      <c r="J43" s="275"/>
      <c r="K43" s="275"/>
      <c r="L43" s="276"/>
      <c r="M43" s="335">
        <v>75000</v>
      </c>
      <c r="N43" s="276"/>
      <c r="O43" s="333"/>
      <c r="P43" s="275"/>
      <c r="Q43" s="315"/>
      <c r="R43" s="24"/>
      <c r="S43" s="24"/>
      <c r="T43" s="24"/>
      <c r="U43" s="24"/>
      <c r="V43" s="24"/>
      <c r="W43" s="24"/>
    </row>
    <row r="44" spans="1:23" ht="15" customHeight="1" x14ac:dyDescent="0.2">
      <c r="A44" s="19"/>
      <c r="B44" s="20">
        <v>2</v>
      </c>
      <c r="C44" s="78" t="s">
        <v>189</v>
      </c>
      <c r="D44" s="79"/>
      <c r="E44" s="80"/>
      <c r="F44" s="80"/>
      <c r="G44" s="80"/>
      <c r="H44" s="80"/>
      <c r="I44" s="80"/>
      <c r="J44" s="80"/>
      <c r="K44" s="80"/>
      <c r="L44" s="85"/>
      <c r="M44" s="335">
        <v>0</v>
      </c>
      <c r="N44" s="276"/>
      <c r="O44" s="333"/>
      <c r="P44" s="275"/>
      <c r="Q44" s="315"/>
      <c r="R44" s="24"/>
      <c r="S44" s="24"/>
      <c r="T44" s="24"/>
      <c r="U44" s="24"/>
      <c r="V44" s="24"/>
      <c r="W44" s="24"/>
    </row>
    <row r="45" spans="1:23" ht="15" customHeight="1" x14ac:dyDescent="0.2">
      <c r="A45" s="19"/>
      <c r="B45" s="20">
        <v>3</v>
      </c>
      <c r="C45" s="78" t="s">
        <v>119</v>
      </c>
      <c r="D45" s="80"/>
      <c r="E45" s="80"/>
      <c r="F45" s="80"/>
      <c r="G45" s="80"/>
      <c r="H45" s="80"/>
      <c r="I45" s="80"/>
      <c r="J45" s="80"/>
      <c r="K45" s="80"/>
      <c r="L45" s="85"/>
      <c r="M45" s="335">
        <v>0</v>
      </c>
      <c r="N45" s="276"/>
      <c r="O45" s="333"/>
      <c r="P45" s="275"/>
      <c r="Q45" s="315"/>
      <c r="R45" s="24"/>
      <c r="S45" s="24"/>
      <c r="T45" s="24"/>
      <c r="U45" s="24"/>
      <c r="V45" s="24"/>
      <c r="W45" s="24"/>
    </row>
    <row r="46" spans="1:23" ht="15" customHeight="1" x14ac:dyDescent="0.2">
      <c r="A46" s="19"/>
      <c r="B46" s="20">
        <v>4</v>
      </c>
      <c r="C46" s="78" t="s">
        <v>120</v>
      </c>
      <c r="D46" s="80"/>
      <c r="E46" s="80"/>
      <c r="F46" s="80"/>
      <c r="G46" s="80"/>
      <c r="H46" s="80"/>
      <c r="I46" s="80"/>
      <c r="J46" s="80"/>
      <c r="K46" s="80"/>
      <c r="L46" s="85"/>
      <c r="M46" s="335">
        <v>0</v>
      </c>
      <c r="N46" s="276"/>
      <c r="O46" s="330"/>
      <c r="P46" s="275"/>
      <c r="Q46" s="315"/>
      <c r="R46" s="24"/>
      <c r="S46" s="24"/>
      <c r="T46" s="24"/>
      <c r="U46" s="24"/>
      <c r="V46" s="24"/>
      <c r="W46" s="24"/>
    </row>
    <row r="47" spans="1:23" ht="15" customHeight="1" x14ac:dyDescent="0.2">
      <c r="A47" s="19">
        <v>3</v>
      </c>
      <c r="B47" s="338" t="s">
        <v>121</v>
      </c>
      <c r="C47" s="275"/>
      <c r="D47" s="275"/>
      <c r="E47" s="275"/>
      <c r="F47" s="275"/>
      <c r="G47" s="275"/>
      <c r="H47" s="275"/>
      <c r="I47" s="275"/>
      <c r="J47" s="275"/>
      <c r="K47" s="275"/>
      <c r="L47" s="276"/>
      <c r="M47" s="335"/>
      <c r="N47" s="276"/>
      <c r="O47" s="331">
        <f>M43+M44+M45</f>
        <v>75000</v>
      </c>
      <c r="P47" s="275"/>
      <c r="Q47" s="315"/>
      <c r="R47" s="24"/>
      <c r="S47" s="24"/>
      <c r="T47" s="24"/>
      <c r="U47" s="24"/>
      <c r="V47" s="24"/>
      <c r="W47" s="24"/>
    </row>
    <row r="48" spans="1:23" ht="15" customHeight="1" x14ac:dyDescent="0.2">
      <c r="A48" s="19">
        <v>4</v>
      </c>
      <c r="B48" s="338" t="s">
        <v>122</v>
      </c>
      <c r="C48" s="275"/>
      <c r="D48" s="275"/>
      <c r="E48" s="275"/>
      <c r="F48" s="275"/>
      <c r="G48" s="275"/>
      <c r="H48" s="275"/>
      <c r="I48" s="275"/>
      <c r="J48" s="275"/>
      <c r="K48" s="275"/>
      <c r="L48" s="276"/>
      <c r="M48" s="335"/>
      <c r="N48" s="276"/>
      <c r="O48" s="331">
        <f>O41-O47</f>
        <v>1134876</v>
      </c>
      <c r="P48" s="275"/>
      <c r="Q48" s="315"/>
      <c r="R48" s="24"/>
      <c r="S48" s="24"/>
      <c r="T48" s="24"/>
      <c r="U48" s="24"/>
      <c r="V48" s="24"/>
      <c r="W48" s="24"/>
    </row>
    <row r="49" spans="1:23" ht="15" customHeight="1" x14ac:dyDescent="0.2">
      <c r="A49" s="18">
        <v>5</v>
      </c>
      <c r="B49" s="323" t="s">
        <v>123</v>
      </c>
      <c r="C49" s="275"/>
      <c r="D49" s="275"/>
      <c r="E49" s="275"/>
      <c r="F49" s="275"/>
      <c r="G49" s="275"/>
      <c r="H49" s="275"/>
      <c r="I49" s="275"/>
      <c r="J49" s="275"/>
      <c r="K49" s="275"/>
      <c r="L49" s="276"/>
      <c r="M49" s="335"/>
      <c r="N49" s="276"/>
      <c r="O49" s="331"/>
      <c r="P49" s="275"/>
      <c r="Q49" s="315"/>
      <c r="R49" s="24"/>
      <c r="S49" s="24"/>
      <c r="T49" s="24"/>
      <c r="U49" s="24"/>
      <c r="V49" s="24"/>
      <c r="W49" s="24"/>
    </row>
    <row r="50" spans="1:23" ht="15" customHeight="1" x14ac:dyDescent="0.2">
      <c r="A50" s="18"/>
      <c r="B50" s="20">
        <v>1</v>
      </c>
      <c r="C50" s="419" t="s">
        <v>191</v>
      </c>
      <c r="D50" s="275"/>
      <c r="E50" s="275"/>
      <c r="F50" s="275"/>
      <c r="G50" s="275"/>
      <c r="H50" s="275"/>
      <c r="I50" s="275"/>
      <c r="J50" s="275"/>
      <c r="K50" s="275"/>
      <c r="L50" s="276"/>
      <c r="M50" s="420">
        <v>0</v>
      </c>
      <c r="N50" s="180"/>
      <c r="O50" s="333"/>
      <c r="P50" s="275"/>
      <c r="Q50" s="315"/>
      <c r="R50" s="24"/>
      <c r="S50" s="24"/>
      <c r="T50" s="24"/>
      <c r="U50" s="24"/>
      <c r="V50" s="24"/>
      <c r="W50" s="24"/>
    </row>
    <row r="51" spans="1:23" ht="15" customHeight="1" x14ac:dyDescent="0.2">
      <c r="A51" s="18"/>
      <c r="B51" s="20">
        <v>2</v>
      </c>
      <c r="C51" s="419" t="s">
        <v>192</v>
      </c>
      <c r="D51" s="275"/>
      <c r="E51" s="275"/>
      <c r="F51" s="275"/>
      <c r="G51" s="275"/>
      <c r="H51" s="275"/>
      <c r="I51" s="275"/>
      <c r="J51" s="275"/>
      <c r="K51" s="275"/>
      <c r="L51" s="276"/>
      <c r="M51" s="420">
        <v>0</v>
      </c>
      <c r="N51" s="180"/>
      <c r="O51" s="333"/>
      <c r="P51" s="275"/>
      <c r="Q51" s="315"/>
      <c r="R51" s="24"/>
      <c r="S51" s="24"/>
      <c r="T51" s="24"/>
      <c r="U51" s="24"/>
      <c r="V51" s="24"/>
      <c r="W51" s="24"/>
    </row>
    <row r="52" spans="1:23" ht="15" customHeight="1" x14ac:dyDescent="0.2">
      <c r="A52" s="18"/>
      <c r="B52" s="20">
        <v>3</v>
      </c>
      <c r="C52" s="419" t="s">
        <v>124</v>
      </c>
      <c r="D52" s="275"/>
      <c r="E52" s="275"/>
      <c r="F52" s="275"/>
      <c r="G52" s="275"/>
      <c r="H52" s="275"/>
      <c r="I52" s="275"/>
      <c r="J52" s="275"/>
      <c r="K52" s="275"/>
      <c r="L52" s="276"/>
      <c r="M52" s="420">
        <v>0</v>
      </c>
      <c r="N52" s="180"/>
      <c r="O52" s="333"/>
      <c r="P52" s="275"/>
      <c r="Q52" s="315"/>
      <c r="R52" s="24"/>
      <c r="S52" s="24"/>
      <c r="T52" s="24"/>
      <c r="U52" s="24"/>
      <c r="V52" s="24"/>
      <c r="W52" s="24"/>
    </row>
    <row r="53" spans="1:23" ht="15" customHeight="1" x14ac:dyDescent="0.2">
      <c r="A53" s="18"/>
      <c r="B53" s="20">
        <v>4</v>
      </c>
      <c r="C53" s="419" t="s">
        <v>125</v>
      </c>
      <c r="D53" s="275"/>
      <c r="E53" s="275"/>
      <c r="F53" s="275"/>
      <c r="G53" s="275"/>
      <c r="H53" s="275"/>
      <c r="I53" s="275"/>
      <c r="J53" s="275"/>
      <c r="K53" s="275"/>
      <c r="L53" s="276"/>
      <c r="M53" s="420">
        <v>0</v>
      </c>
      <c r="N53" s="180"/>
      <c r="O53" s="333"/>
      <c r="P53" s="275"/>
      <c r="Q53" s="315"/>
      <c r="R53" s="24"/>
      <c r="S53" s="24"/>
      <c r="T53" s="24"/>
      <c r="U53" s="24"/>
      <c r="V53" s="24"/>
      <c r="W53" s="24"/>
    </row>
    <row r="54" spans="1:23" ht="15" customHeight="1" x14ac:dyDescent="0.2">
      <c r="A54" s="18"/>
      <c r="B54" s="20">
        <v>5</v>
      </c>
      <c r="C54" s="419" t="s">
        <v>126</v>
      </c>
      <c r="D54" s="275"/>
      <c r="E54" s="275"/>
      <c r="F54" s="275"/>
      <c r="G54" s="275"/>
      <c r="H54" s="275"/>
      <c r="I54" s="275"/>
      <c r="J54" s="275"/>
      <c r="K54" s="275"/>
      <c r="L54" s="276"/>
      <c r="M54" s="420">
        <v>0</v>
      </c>
      <c r="N54" s="180"/>
      <c r="O54" s="333"/>
      <c r="P54" s="275"/>
      <c r="Q54" s="315"/>
      <c r="R54" s="24"/>
      <c r="S54" s="24"/>
      <c r="T54" s="24"/>
      <c r="U54" s="24"/>
      <c r="V54" s="24"/>
      <c r="W54" s="24"/>
    </row>
    <row r="55" spans="1:23" ht="15" customHeight="1" x14ac:dyDescent="0.2">
      <c r="A55" s="18"/>
      <c r="B55" s="20">
        <v>6</v>
      </c>
      <c r="C55" s="419" t="s">
        <v>127</v>
      </c>
      <c r="D55" s="275"/>
      <c r="E55" s="275"/>
      <c r="F55" s="275"/>
      <c r="G55" s="275"/>
      <c r="H55" s="275"/>
      <c r="I55" s="275"/>
      <c r="J55" s="275"/>
      <c r="K55" s="275"/>
      <c r="L55" s="276"/>
      <c r="M55" s="420">
        <v>0</v>
      </c>
      <c r="N55" s="180"/>
      <c r="O55" s="333"/>
      <c r="P55" s="275"/>
      <c r="Q55" s="315"/>
      <c r="R55" s="24"/>
      <c r="S55" s="24"/>
      <c r="T55" s="24"/>
      <c r="U55" s="24"/>
      <c r="V55" s="24"/>
      <c r="W55" s="24"/>
    </row>
    <row r="56" spans="1:23" ht="15" customHeight="1" x14ac:dyDescent="0.2">
      <c r="A56" s="18"/>
      <c r="B56" s="20">
        <v>7</v>
      </c>
      <c r="C56" s="419" t="s">
        <v>49</v>
      </c>
      <c r="D56" s="275"/>
      <c r="E56" s="275"/>
      <c r="F56" s="275"/>
      <c r="G56" s="275"/>
      <c r="H56" s="275"/>
      <c r="I56" s="275"/>
      <c r="J56" s="275"/>
      <c r="K56" s="275"/>
      <c r="L56" s="276"/>
      <c r="M56" s="420">
        <v>0</v>
      </c>
      <c r="N56" s="180"/>
      <c r="O56" s="333"/>
      <c r="P56" s="275"/>
      <c r="Q56" s="315"/>
      <c r="R56" s="24"/>
      <c r="S56" s="24"/>
      <c r="T56" s="24"/>
      <c r="U56" s="24"/>
      <c r="V56" s="24"/>
      <c r="W56" s="24"/>
    </row>
    <row r="57" spans="1:23" ht="15" customHeight="1" x14ac:dyDescent="0.2">
      <c r="A57" s="18"/>
      <c r="B57" s="20">
        <v>8</v>
      </c>
      <c r="C57" s="419" t="s">
        <v>51</v>
      </c>
      <c r="D57" s="275"/>
      <c r="E57" s="275"/>
      <c r="F57" s="275"/>
      <c r="G57" s="275"/>
      <c r="H57" s="275"/>
      <c r="I57" s="275"/>
      <c r="J57" s="275"/>
      <c r="K57" s="275"/>
      <c r="L57" s="276"/>
      <c r="M57" s="420">
        <v>0</v>
      </c>
      <c r="N57" s="180"/>
      <c r="O57" s="333"/>
      <c r="P57" s="275"/>
      <c r="Q57" s="315"/>
      <c r="R57" s="24"/>
      <c r="S57" s="24"/>
      <c r="T57" s="24"/>
      <c r="U57" s="24"/>
      <c r="V57" s="24"/>
      <c r="W57" s="24"/>
    </row>
    <row r="58" spans="1:23" ht="15" customHeight="1" x14ac:dyDescent="0.2">
      <c r="A58" s="18"/>
      <c r="B58" s="20">
        <v>9</v>
      </c>
      <c r="C58" s="419" t="s">
        <v>128</v>
      </c>
      <c r="D58" s="275"/>
      <c r="E58" s="275"/>
      <c r="F58" s="275"/>
      <c r="G58" s="275"/>
      <c r="H58" s="275"/>
      <c r="I58" s="275"/>
      <c r="J58" s="275"/>
      <c r="K58" s="275"/>
      <c r="L58" s="276"/>
      <c r="M58" s="420">
        <v>0</v>
      </c>
      <c r="N58" s="180"/>
      <c r="O58" s="333"/>
      <c r="P58" s="275"/>
      <c r="Q58" s="315"/>
      <c r="R58" s="24"/>
      <c r="S58" s="24"/>
      <c r="T58" s="24"/>
      <c r="U58" s="24"/>
      <c r="V58" s="24"/>
      <c r="W58" s="24"/>
    </row>
    <row r="59" spans="1:23" ht="15" customHeight="1" x14ac:dyDescent="0.2">
      <c r="A59" s="18"/>
      <c r="B59" s="20">
        <v>10</v>
      </c>
      <c r="C59" s="419" t="s">
        <v>129</v>
      </c>
      <c r="D59" s="275"/>
      <c r="E59" s="275"/>
      <c r="F59" s="275"/>
      <c r="G59" s="275"/>
      <c r="H59" s="275"/>
      <c r="I59" s="275"/>
      <c r="J59" s="275"/>
      <c r="K59" s="275"/>
      <c r="L59" s="276"/>
      <c r="M59" s="420">
        <v>0</v>
      </c>
      <c r="N59" s="180"/>
      <c r="O59" s="333"/>
      <c r="P59" s="275"/>
      <c r="Q59" s="315"/>
      <c r="R59" s="24"/>
      <c r="S59" s="24"/>
      <c r="T59" s="24"/>
      <c r="U59" s="24"/>
      <c r="V59" s="24"/>
      <c r="W59" s="24"/>
    </row>
    <row r="60" spans="1:23" ht="15" customHeight="1" x14ac:dyDescent="0.2">
      <c r="A60" s="18"/>
      <c r="B60" s="20">
        <v>11</v>
      </c>
      <c r="C60" s="419" t="s">
        <v>130</v>
      </c>
      <c r="D60" s="275"/>
      <c r="E60" s="275"/>
      <c r="F60" s="275"/>
      <c r="G60" s="275"/>
      <c r="H60" s="275"/>
      <c r="I60" s="275"/>
      <c r="J60" s="275"/>
      <c r="K60" s="275"/>
      <c r="L60" s="276"/>
      <c r="M60" s="420">
        <v>0</v>
      </c>
      <c r="N60" s="180"/>
      <c r="O60" s="333"/>
      <c r="P60" s="275"/>
      <c r="Q60" s="315"/>
      <c r="R60" s="24"/>
      <c r="S60" s="24"/>
      <c r="T60" s="24"/>
      <c r="U60" s="24"/>
      <c r="V60" s="24"/>
      <c r="W60" s="24"/>
    </row>
    <row r="61" spans="1:23" ht="15" customHeight="1" x14ac:dyDescent="0.2">
      <c r="A61" s="18"/>
      <c r="B61" s="20">
        <v>12</v>
      </c>
      <c r="C61" s="419" t="s">
        <v>131</v>
      </c>
      <c r="D61" s="275"/>
      <c r="E61" s="275"/>
      <c r="F61" s="275"/>
      <c r="G61" s="275"/>
      <c r="H61" s="275"/>
      <c r="I61" s="275"/>
      <c r="J61" s="275"/>
      <c r="K61" s="275"/>
      <c r="L61" s="276"/>
      <c r="M61" s="420">
        <v>0</v>
      </c>
      <c r="N61" s="180"/>
      <c r="O61" s="331"/>
      <c r="P61" s="275"/>
      <c r="Q61" s="315"/>
      <c r="R61" s="24"/>
      <c r="S61" s="24"/>
      <c r="T61" s="24"/>
      <c r="U61" s="24"/>
      <c r="V61" s="24"/>
      <c r="W61" s="24"/>
    </row>
    <row r="62" spans="1:23" ht="15" customHeight="1" x14ac:dyDescent="0.2">
      <c r="A62" s="18"/>
      <c r="B62" s="20">
        <v>13</v>
      </c>
      <c r="C62" s="419" t="s">
        <v>132</v>
      </c>
      <c r="D62" s="275"/>
      <c r="E62" s="275"/>
      <c r="F62" s="275"/>
      <c r="G62" s="275"/>
      <c r="H62" s="275"/>
      <c r="I62" s="275"/>
      <c r="J62" s="275"/>
      <c r="K62" s="275"/>
      <c r="L62" s="276"/>
      <c r="M62" s="420">
        <v>0</v>
      </c>
      <c r="N62" s="180"/>
      <c r="O62" s="331"/>
      <c r="P62" s="275"/>
      <c r="Q62" s="315"/>
      <c r="R62" s="24"/>
      <c r="S62" s="24"/>
      <c r="T62" s="24"/>
      <c r="U62" s="24"/>
      <c r="V62" s="24"/>
      <c r="W62" s="24"/>
    </row>
    <row r="63" spans="1:23" ht="15" customHeight="1" x14ac:dyDescent="0.2">
      <c r="A63" s="18"/>
      <c r="B63" s="20">
        <v>14</v>
      </c>
      <c r="C63" s="419" t="s">
        <v>133</v>
      </c>
      <c r="D63" s="275"/>
      <c r="E63" s="275"/>
      <c r="F63" s="275"/>
      <c r="G63" s="275"/>
      <c r="H63" s="275"/>
      <c r="I63" s="275"/>
      <c r="J63" s="275"/>
      <c r="K63" s="275"/>
      <c r="L63" s="276"/>
      <c r="M63" s="420">
        <v>0</v>
      </c>
      <c r="N63" s="180"/>
      <c r="O63" s="331"/>
      <c r="P63" s="275"/>
      <c r="Q63" s="315"/>
      <c r="R63" s="24"/>
      <c r="S63" s="24"/>
      <c r="T63" s="24"/>
      <c r="U63" s="24"/>
      <c r="V63" s="24"/>
      <c r="W63" s="24"/>
    </row>
    <row r="64" spans="1:23" ht="15" customHeight="1" x14ac:dyDescent="0.2">
      <c r="A64" s="18"/>
      <c r="B64" s="338" t="s">
        <v>193</v>
      </c>
      <c r="C64" s="275"/>
      <c r="D64" s="275"/>
      <c r="E64" s="275"/>
      <c r="F64" s="275"/>
      <c r="G64" s="275"/>
      <c r="H64" s="275"/>
      <c r="I64" s="275"/>
      <c r="J64" s="275"/>
      <c r="K64" s="275"/>
      <c r="L64" s="276"/>
      <c r="M64" s="335">
        <f>SUM(M50:M61)</f>
        <v>0</v>
      </c>
      <c r="N64" s="276"/>
      <c r="O64" s="331">
        <f>IF(M64&lt;150000,M64,150000)</f>
        <v>0</v>
      </c>
      <c r="P64" s="275"/>
      <c r="Q64" s="315"/>
      <c r="R64" s="24"/>
      <c r="S64" s="24"/>
      <c r="T64" s="24"/>
      <c r="U64" s="24"/>
      <c r="V64" s="24"/>
      <c r="W64" s="24"/>
    </row>
    <row r="65" spans="1:23" ht="15" customHeight="1" x14ac:dyDescent="0.2">
      <c r="A65" s="18">
        <v>6</v>
      </c>
      <c r="B65" s="20">
        <v>1</v>
      </c>
      <c r="C65" s="419" t="s">
        <v>135</v>
      </c>
      <c r="D65" s="275"/>
      <c r="E65" s="275"/>
      <c r="F65" s="275"/>
      <c r="G65" s="275"/>
      <c r="H65" s="275"/>
      <c r="I65" s="275"/>
      <c r="J65" s="275"/>
      <c r="K65" s="275"/>
      <c r="L65" s="276"/>
      <c r="M65" s="420">
        <v>0</v>
      </c>
      <c r="N65" s="180"/>
      <c r="O65" s="333"/>
      <c r="P65" s="275"/>
      <c r="Q65" s="315"/>
      <c r="R65" s="24"/>
      <c r="S65" s="24"/>
      <c r="T65" s="24"/>
      <c r="U65" s="24"/>
      <c r="V65" s="24"/>
      <c r="W65" s="24"/>
    </row>
    <row r="66" spans="1:23" ht="15" customHeight="1" x14ac:dyDescent="0.2">
      <c r="A66" s="18"/>
      <c r="B66" s="20">
        <v>2</v>
      </c>
      <c r="C66" s="419" t="s">
        <v>136</v>
      </c>
      <c r="D66" s="275"/>
      <c r="E66" s="275"/>
      <c r="F66" s="275"/>
      <c r="G66" s="275"/>
      <c r="H66" s="275"/>
      <c r="I66" s="275"/>
      <c r="J66" s="275"/>
      <c r="K66" s="275"/>
      <c r="L66" s="276"/>
      <c r="M66" s="420">
        <v>0</v>
      </c>
      <c r="N66" s="180"/>
      <c r="O66" s="333"/>
      <c r="P66" s="275"/>
      <c r="Q66" s="315"/>
      <c r="R66" s="24"/>
      <c r="S66" s="24"/>
      <c r="T66" s="24"/>
      <c r="U66" s="24"/>
      <c r="V66" s="24"/>
      <c r="W66" s="24"/>
    </row>
    <row r="67" spans="1:23" ht="15" customHeight="1" x14ac:dyDescent="0.2">
      <c r="A67" s="18"/>
      <c r="B67" s="20">
        <v>3</v>
      </c>
      <c r="C67" s="419" t="s">
        <v>137</v>
      </c>
      <c r="D67" s="275"/>
      <c r="E67" s="275"/>
      <c r="F67" s="275"/>
      <c r="G67" s="275"/>
      <c r="H67" s="275"/>
      <c r="I67" s="275"/>
      <c r="J67" s="275"/>
      <c r="K67" s="275"/>
      <c r="L67" s="276"/>
      <c r="M67" s="420">
        <v>0</v>
      </c>
      <c r="N67" s="180"/>
      <c r="O67" s="333"/>
      <c r="P67" s="275"/>
      <c r="Q67" s="315"/>
      <c r="R67" s="24"/>
      <c r="S67" s="24"/>
      <c r="T67" s="24"/>
      <c r="U67" s="24"/>
      <c r="V67" s="24"/>
      <c r="W67" s="24"/>
    </row>
    <row r="68" spans="1:23" ht="15" customHeight="1" x14ac:dyDescent="0.2">
      <c r="A68" s="18"/>
      <c r="B68" s="20">
        <v>4</v>
      </c>
      <c r="C68" s="419" t="s">
        <v>138</v>
      </c>
      <c r="D68" s="275"/>
      <c r="E68" s="275"/>
      <c r="F68" s="275"/>
      <c r="G68" s="275"/>
      <c r="H68" s="275"/>
      <c r="I68" s="275"/>
      <c r="J68" s="275"/>
      <c r="K68" s="275"/>
      <c r="L68" s="276"/>
      <c r="M68" s="420">
        <v>0</v>
      </c>
      <c r="N68" s="180"/>
      <c r="O68" s="333"/>
      <c r="P68" s="275"/>
      <c r="Q68" s="315"/>
      <c r="R68" s="24"/>
      <c r="S68" s="24"/>
      <c r="T68" s="24"/>
      <c r="U68" s="24"/>
      <c r="V68" s="24"/>
      <c r="W68" s="24"/>
    </row>
    <row r="69" spans="1:23" ht="15" customHeight="1" x14ac:dyDescent="0.2">
      <c r="A69" s="18"/>
      <c r="B69" s="20">
        <v>5</v>
      </c>
      <c r="C69" s="419" t="s">
        <v>214</v>
      </c>
      <c r="D69" s="275"/>
      <c r="E69" s="275"/>
      <c r="F69" s="275"/>
      <c r="G69" s="275"/>
      <c r="H69" s="275"/>
      <c r="I69" s="275"/>
      <c r="J69" s="275"/>
      <c r="K69" s="275"/>
      <c r="L69" s="276"/>
      <c r="M69" s="420">
        <v>0</v>
      </c>
      <c r="N69" s="180"/>
      <c r="O69" s="333"/>
      <c r="P69" s="275"/>
      <c r="Q69" s="315"/>
      <c r="R69" s="24"/>
      <c r="S69" s="24"/>
      <c r="T69" s="24"/>
      <c r="U69" s="24"/>
      <c r="V69" s="24"/>
      <c r="W69" s="24"/>
    </row>
    <row r="70" spans="1:23" ht="15" customHeight="1" x14ac:dyDescent="0.2">
      <c r="A70" s="18"/>
      <c r="B70" s="20">
        <v>6</v>
      </c>
      <c r="C70" s="419" t="s">
        <v>181</v>
      </c>
      <c r="D70" s="275"/>
      <c r="E70" s="275"/>
      <c r="F70" s="275"/>
      <c r="G70" s="275"/>
      <c r="H70" s="275"/>
      <c r="I70" s="275"/>
      <c r="J70" s="275"/>
      <c r="K70" s="275"/>
      <c r="L70" s="276"/>
      <c r="M70" s="420">
        <v>0</v>
      </c>
      <c r="N70" s="180"/>
      <c r="O70" s="28"/>
      <c r="P70" s="58"/>
      <c r="Q70" s="60"/>
      <c r="R70" s="24"/>
      <c r="S70" s="24"/>
      <c r="T70" s="24"/>
      <c r="U70" s="24"/>
      <c r="V70" s="24"/>
      <c r="W70" s="24"/>
    </row>
    <row r="71" spans="1:23" ht="15" customHeight="1" x14ac:dyDescent="0.2">
      <c r="A71" s="18"/>
      <c r="B71" s="338" t="s">
        <v>140</v>
      </c>
      <c r="C71" s="275"/>
      <c r="D71" s="275"/>
      <c r="E71" s="275"/>
      <c r="F71" s="275"/>
      <c r="G71" s="275"/>
      <c r="H71" s="275"/>
      <c r="I71" s="275"/>
      <c r="J71" s="275"/>
      <c r="K71" s="275"/>
      <c r="L71" s="276"/>
      <c r="M71" s="335">
        <f>SUM(M65:M69)</f>
        <v>0</v>
      </c>
      <c r="N71" s="276"/>
      <c r="O71" s="331">
        <f>M71</f>
        <v>0</v>
      </c>
      <c r="P71" s="275"/>
      <c r="Q71" s="315"/>
      <c r="R71" s="24"/>
      <c r="S71" s="24"/>
      <c r="T71" s="24"/>
      <c r="U71" s="24"/>
      <c r="V71" s="24"/>
      <c r="W71" s="24"/>
    </row>
    <row r="72" spans="1:23" ht="15" customHeight="1" x14ac:dyDescent="0.2">
      <c r="A72" s="18">
        <v>7</v>
      </c>
      <c r="B72" s="323" t="s">
        <v>141</v>
      </c>
      <c r="C72" s="275"/>
      <c r="D72" s="275"/>
      <c r="E72" s="275"/>
      <c r="F72" s="275"/>
      <c r="G72" s="275"/>
      <c r="H72" s="275"/>
      <c r="I72" s="275"/>
      <c r="J72" s="275"/>
      <c r="K72" s="275"/>
      <c r="L72" s="276"/>
      <c r="M72" s="335">
        <f>ROUND(O48-(O64+M71),-1)</f>
        <v>1134880</v>
      </c>
      <c r="N72" s="276"/>
      <c r="O72" s="331">
        <f>IF(M72&lt;300000,0,M72-300000)</f>
        <v>834880</v>
      </c>
      <c r="P72" s="275"/>
      <c r="Q72" s="315"/>
      <c r="R72" s="24"/>
      <c r="S72" s="24"/>
      <c r="T72" s="24"/>
      <c r="U72" s="24"/>
      <c r="V72" s="24"/>
      <c r="W72" s="24"/>
    </row>
    <row r="73" spans="1:23" ht="15" customHeight="1" x14ac:dyDescent="0.2">
      <c r="A73" s="18">
        <v>8</v>
      </c>
      <c r="B73" s="323" t="s">
        <v>142</v>
      </c>
      <c r="C73" s="275"/>
      <c r="D73" s="275"/>
      <c r="E73" s="275"/>
      <c r="F73" s="275"/>
      <c r="G73" s="275"/>
      <c r="H73" s="275"/>
      <c r="I73" s="275"/>
      <c r="J73" s="275"/>
      <c r="K73" s="275"/>
      <c r="L73" s="276"/>
      <c r="M73" s="335"/>
      <c r="N73" s="276"/>
      <c r="O73" s="333"/>
      <c r="P73" s="275"/>
      <c r="Q73" s="315"/>
      <c r="R73" s="24"/>
      <c r="S73" s="24"/>
      <c r="T73" s="24"/>
      <c r="U73" s="24"/>
      <c r="V73" s="24"/>
      <c r="W73" s="24"/>
    </row>
    <row r="74" spans="1:23" ht="15" customHeight="1" x14ac:dyDescent="0.2">
      <c r="A74" s="18"/>
      <c r="B74" s="20">
        <v>1</v>
      </c>
      <c r="C74" s="332" t="s">
        <v>215</v>
      </c>
      <c r="D74" s="275"/>
      <c r="E74" s="275"/>
      <c r="F74" s="275"/>
      <c r="G74" s="275"/>
      <c r="H74" s="275"/>
      <c r="I74" s="275"/>
      <c r="J74" s="275"/>
      <c r="K74" s="275"/>
      <c r="L74" s="276"/>
      <c r="M74" s="335">
        <f>IF(O72&lt;1,0,IF(M72&gt;700000,20000,ROUND((O72)*5%,0)))</f>
        <v>20000</v>
      </c>
      <c r="N74" s="276"/>
      <c r="O74" s="333"/>
      <c r="P74" s="275"/>
      <c r="Q74" s="315"/>
      <c r="R74" s="24"/>
      <c r="S74" s="24"/>
      <c r="T74" s="24"/>
      <c r="U74" s="24"/>
      <c r="V74" s="24"/>
      <c r="W74" s="24"/>
    </row>
    <row r="75" spans="1:23" ht="15" customHeight="1" x14ac:dyDescent="0.2">
      <c r="A75" s="18"/>
      <c r="B75" s="20">
        <v>2</v>
      </c>
      <c r="C75" s="332" t="s">
        <v>216</v>
      </c>
      <c r="D75" s="275"/>
      <c r="E75" s="275"/>
      <c r="F75" s="275"/>
      <c r="G75" s="275"/>
      <c r="H75" s="275"/>
      <c r="I75" s="275"/>
      <c r="J75" s="275"/>
      <c r="K75" s="275"/>
      <c r="L75" s="276"/>
      <c r="M75" s="335">
        <f>IF(M72&lt;700001,0,IF(M72&gt;1000000,30000,ROUND((M72-700001)*10%,0)))</f>
        <v>30000</v>
      </c>
      <c r="N75" s="276"/>
      <c r="O75" s="333"/>
      <c r="P75" s="275"/>
      <c r="Q75" s="315"/>
      <c r="R75" s="24"/>
      <c r="S75" s="24"/>
      <c r="T75" s="24"/>
      <c r="U75" s="24"/>
      <c r="V75" s="24"/>
      <c r="W75" s="24"/>
    </row>
    <row r="76" spans="1:23" ht="15" customHeight="1" x14ac:dyDescent="0.2">
      <c r="A76" s="19"/>
      <c r="B76" s="20">
        <v>3</v>
      </c>
      <c r="C76" s="332" t="s">
        <v>217</v>
      </c>
      <c r="D76" s="275"/>
      <c r="E76" s="275"/>
      <c r="F76" s="275"/>
      <c r="G76" s="275"/>
      <c r="H76" s="275"/>
      <c r="I76" s="275"/>
      <c r="J76" s="275"/>
      <c r="K76" s="275"/>
      <c r="L76" s="276"/>
      <c r="M76" s="335">
        <f>IF(M72&lt;1000001,0,IF(M72&gt;1200000,30000,ROUND((M72-1000001)*15%,0)))</f>
        <v>20232</v>
      </c>
      <c r="N76" s="276"/>
      <c r="O76" s="333"/>
      <c r="P76" s="275"/>
      <c r="Q76" s="315"/>
      <c r="R76" s="24"/>
      <c r="S76" s="24"/>
      <c r="T76" s="24"/>
      <c r="U76" s="24"/>
      <c r="V76" s="24"/>
      <c r="W76" s="24"/>
    </row>
    <row r="77" spans="1:23" ht="15" customHeight="1" x14ac:dyDescent="0.2">
      <c r="A77" s="19"/>
      <c r="B77" s="20">
        <v>4</v>
      </c>
      <c r="C77" s="332" t="s">
        <v>218</v>
      </c>
      <c r="D77" s="275"/>
      <c r="E77" s="275"/>
      <c r="F77" s="275"/>
      <c r="G77" s="275"/>
      <c r="H77" s="275"/>
      <c r="I77" s="275"/>
      <c r="J77" s="275"/>
      <c r="K77" s="275"/>
      <c r="L77" s="276"/>
      <c r="M77" s="335">
        <f>IF(M72&lt;1200001,0,IF(M72&gt;1500000,60000,ROUND((M72-1200001)*20%,0)))</f>
        <v>0</v>
      </c>
      <c r="N77" s="276"/>
      <c r="O77" s="28"/>
      <c r="P77" s="58"/>
      <c r="Q77" s="60"/>
      <c r="R77" s="24"/>
      <c r="S77" s="24"/>
      <c r="T77" s="24"/>
      <c r="U77" s="24"/>
      <c r="V77" s="24"/>
      <c r="W77" s="24"/>
    </row>
    <row r="78" spans="1:23" ht="15" customHeight="1" x14ac:dyDescent="0.2">
      <c r="A78" s="19"/>
      <c r="B78" s="20">
        <v>5</v>
      </c>
      <c r="C78" s="332" t="s">
        <v>219</v>
      </c>
      <c r="D78" s="275"/>
      <c r="E78" s="275"/>
      <c r="F78" s="275"/>
      <c r="G78" s="275"/>
      <c r="H78" s="275"/>
      <c r="I78" s="275"/>
      <c r="J78" s="275"/>
      <c r="K78" s="275"/>
      <c r="L78" s="276"/>
      <c r="M78" s="335">
        <f>IF(M72&lt;1500000,0,IF(M72&gt;1500000,ROUND((M72-1500000)*30%,0)))</f>
        <v>0</v>
      </c>
      <c r="N78" s="276"/>
      <c r="O78" s="28"/>
      <c r="P78" s="58"/>
      <c r="Q78" s="60"/>
      <c r="R78" s="24"/>
      <c r="S78" s="24"/>
      <c r="T78" s="24"/>
      <c r="U78" s="24"/>
      <c r="V78" s="24"/>
      <c r="W78" s="24"/>
    </row>
    <row r="79" spans="1:23" ht="15" customHeight="1" x14ac:dyDescent="0.2">
      <c r="A79" s="18"/>
      <c r="B79" s="338" t="s">
        <v>143</v>
      </c>
      <c r="C79" s="275"/>
      <c r="D79" s="275"/>
      <c r="E79" s="275"/>
      <c r="F79" s="275"/>
      <c r="G79" s="275"/>
      <c r="H79" s="275"/>
      <c r="I79" s="275"/>
      <c r="J79" s="275"/>
      <c r="K79" s="275"/>
      <c r="L79" s="276"/>
      <c r="M79" s="335">
        <f>SUM(M74:M78)</f>
        <v>70232</v>
      </c>
      <c r="N79" s="276"/>
      <c r="O79" s="331">
        <f t="shared" ref="O79:O81" si="43">M79</f>
        <v>70232</v>
      </c>
      <c r="P79" s="275"/>
      <c r="Q79" s="315"/>
      <c r="R79" s="24"/>
      <c r="S79" s="24"/>
      <c r="T79" s="24"/>
      <c r="U79" s="24"/>
      <c r="V79" s="24"/>
      <c r="W79" s="24"/>
    </row>
    <row r="80" spans="1:23" ht="15" customHeight="1" x14ac:dyDescent="0.2">
      <c r="A80" s="18">
        <v>9</v>
      </c>
      <c r="B80" s="86" t="s">
        <v>144</v>
      </c>
      <c r="C80" s="80"/>
      <c r="D80" s="80"/>
      <c r="E80" s="80"/>
      <c r="F80" s="80"/>
      <c r="G80" s="80"/>
      <c r="H80" s="80"/>
      <c r="I80" s="80"/>
      <c r="J80" s="80"/>
      <c r="K80" s="80"/>
      <c r="L80" s="85"/>
      <c r="M80" s="335">
        <f>IF(M72&lt;700000,M74,0)</f>
        <v>0</v>
      </c>
      <c r="N80" s="276"/>
      <c r="O80" s="331">
        <f t="shared" si="43"/>
        <v>0</v>
      </c>
      <c r="P80" s="275"/>
      <c r="Q80" s="315"/>
      <c r="R80" s="24"/>
      <c r="S80" s="24"/>
      <c r="T80" s="24"/>
      <c r="U80" s="24"/>
      <c r="V80" s="24"/>
      <c r="W80" s="24"/>
    </row>
    <row r="81" spans="1:23" ht="15" customHeight="1" x14ac:dyDescent="0.2">
      <c r="A81" s="18">
        <v>10</v>
      </c>
      <c r="B81" s="323" t="s">
        <v>145</v>
      </c>
      <c r="C81" s="275"/>
      <c r="D81" s="275"/>
      <c r="E81" s="275"/>
      <c r="F81" s="275"/>
      <c r="G81" s="275"/>
      <c r="H81" s="275"/>
      <c r="I81" s="275"/>
      <c r="J81" s="275"/>
      <c r="K81" s="275"/>
      <c r="L81" s="276"/>
      <c r="M81" s="335">
        <f>O79-O80</f>
        <v>70232</v>
      </c>
      <c r="N81" s="276"/>
      <c r="O81" s="331">
        <f t="shared" si="43"/>
        <v>70232</v>
      </c>
      <c r="P81" s="275"/>
      <c r="Q81" s="315"/>
      <c r="R81" s="24"/>
      <c r="S81" s="24"/>
      <c r="T81" s="24"/>
      <c r="U81" s="24"/>
      <c r="V81" s="24"/>
      <c r="W81" s="24"/>
    </row>
    <row r="82" spans="1:23" ht="15" customHeight="1" x14ac:dyDescent="0.2">
      <c r="A82" s="18">
        <v>11</v>
      </c>
      <c r="B82" s="86" t="s">
        <v>146</v>
      </c>
      <c r="C82" s="80"/>
      <c r="D82" s="80"/>
      <c r="E82" s="80"/>
      <c r="F82" s="80"/>
      <c r="G82" s="80"/>
      <c r="H82" s="80"/>
      <c r="I82" s="80"/>
      <c r="J82" s="80"/>
      <c r="K82" s="80"/>
      <c r="L82" s="85"/>
      <c r="M82" s="335">
        <f>ROUND((O81*0.04),0)</f>
        <v>2809</v>
      </c>
      <c r="N82" s="276"/>
      <c r="O82" s="331"/>
      <c r="P82" s="275"/>
      <c r="Q82" s="315"/>
      <c r="R82" s="24"/>
      <c r="S82" s="24"/>
      <c r="T82" s="24"/>
      <c r="U82" s="24"/>
      <c r="V82" s="24"/>
      <c r="W82" s="24"/>
    </row>
    <row r="83" spans="1:23" ht="15" customHeight="1" x14ac:dyDescent="0.2">
      <c r="A83" s="18">
        <v>12</v>
      </c>
      <c r="B83" s="338" t="s">
        <v>220</v>
      </c>
      <c r="C83" s="275"/>
      <c r="D83" s="275"/>
      <c r="E83" s="275"/>
      <c r="F83" s="275"/>
      <c r="G83" s="275"/>
      <c r="H83" s="275"/>
      <c r="I83" s="275"/>
      <c r="J83" s="275"/>
      <c r="K83" s="275"/>
      <c r="L83" s="276"/>
      <c r="M83" s="335">
        <f>SUM(M81:M82)</f>
        <v>73041</v>
      </c>
      <c r="N83" s="276"/>
      <c r="O83" s="331">
        <f>ROUNDUP(M83,0-1)</f>
        <v>73050</v>
      </c>
      <c r="P83" s="275"/>
      <c r="Q83" s="315"/>
      <c r="R83" s="24"/>
      <c r="S83" s="24"/>
      <c r="T83" s="24"/>
      <c r="U83" s="24"/>
      <c r="V83" s="24"/>
      <c r="W83" s="24"/>
    </row>
    <row r="84" spans="1:23" ht="15" customHeight="1" x14ac:dyDescent="0.2">
      <c r="A84" s="18">
        <v>13</v>
      </c>
      <c r="B84" s="86" t="s">
        <v>148</v>
      </c>
      <c r="C84" s="80"/>
      <c r="D84" s="80"/>
      <c r="E84" s="80"/>
      <c r="F84" s="80"/>
      <c r="G84" s="80"/>
      <c r="H84" s="80"/>
      <c r="I84" s="80"/>
      <c r="J84" s="80"/>
      <c r="K84" s="80"/>
      <c r="L84" s="85"/>
      <c r="M84" s="335">
        <v>0</v>
      </c>
      <c r="N84" s="276"/>
      <c r="O84" s="331">
        <v>0</v>
      </c>
      <c r="P84" s="275"/>
      <c r="Q84" s="315"/>
      <c r="R84" s="24"/>
      <c r="S84" s="24"/>
      <c r="T84" s="24"/>
      <c r="U84" s="24"/>
      <c r="V84" s="24"/>
      <c r="W84" s="24"/>
    </row>
    <row r="85" spans="1:23" ht="15" customHeight="1" x14ac:dyDescent="0.2">
      <c r="A85" s="18">
        <v>14</v>
      </c>
      <c r="B85" s="86" t="s">
        <v>149</v>
      </c>
      <c r="C85" s="80"/>
      <c r="D85" s="80"/>
      <c r="E85" s="80"/>
      <c r="F85" s="421"/>
      <c r="G85" s="275"/>
      <c r="H85" s="275"/>
      <c r="I85" s="275"/>
      <c r="J85" s="275"/>
      <c r="K85" s="275"/>
      <c r="L85" s="59"/>
      <c r="M85" s="335"/>
      <c r="N85" s="276"/>
      <c r="O85" s="331">
        <f>O83-O84</f>
        <v>73050</v>
      </c>
      <c r="P85" s="275"/>
      <c r="Q85" s="315"/>
      <c r="R85" s="24"/>
      <c r="S85" s="24"/>
      <c r="T85" s="24"/>
      <c r="U85" s="24"/>
      <c r="V85" s="24"/>
      <c r="W85" s="24"/>
    </row>
    <row r="86" spans="1:23" ht="15" customHeight="1" x14ac:dyDescent="0.2">
      <c r="A86" s="20">
        <v>15</v>
      </c>
      <c r="B86" s="86" t="s">
        <v>150</v>
      </c>
      <c r="C86" s="80"/>
      <c r="D86" s="80"/>
      <c r="E86" s="80"/>
      <c r="F86" s="80"/>
      <c r="G86" s="80"/>
      <c r="H86" s="80"/>
      <c r="I86" s="80"/>
      <c r="J86" s="80"/>
      <c r="K86" s="80"/>
      <c r="L86" s="85"/>
      <c r="M86" s="335">
        <f>Q6+Q7+Q8+Q9+Q10+Q11+Q12+Q13+Q14</f>
        <v>54000</v>
      </c>
      <c r="N86" s="276"/>
      <c r="O86" s="333"/>
      <c r="P86" s="275"/>
      <c r="Q86" s="276"/>
      <c r="R86" s="24"/>
      <c r="S86" s="24"/>
      <c r="T86" s="24"/>
      <c r="U86" s="24"/>
      <c r="V86" s="24"/>
      <c r="W86" s="24"/>
    </row>
    <row r="87" spans="1:23" ht="15" customHeight="1" x14ac:dyDescent="0.2">
      <c r="A87" s="20">
        <v>16</v>
      </c>
      <c r="B87" s="86" t="s">
        <v>151</v>
      </c>
      <c r="C87" s="80"/>
      <c r="D87" s="80"/>
      <c r="E87" s="80"/>
      <c r="F87" s="80"/>
      <c r="G87" s="80"/>
      <c r="H87" s="80"/>
      <c r="I87" s="80"/>
      <c r="J87" s="80"/>
      <c r="K87" s="80"/>
      <c r="L87" s="85"/>
      <c r="M87" s="335">
        <f>IF(O85&lt;M86,0,ROUND((O85-M86)/3,-2))</f>
        <v>6400</v>
      </c>
      <c r="N87" s="276"/>
      <c r="O87" s="333"/>
      <c r="P87" s="275"/>
      <c r="Q87" s="276"/>
      <c r="R87" s="24"/>
      <c r="S87" s="24"/>
      <c r="T87" s="24"/>
      <c r="U87" s="24"/>
      <c r="V87" s="24"/>
      <c r="W87" s="24"/>
    </row>
    <row r="88" spans="1:23" ht="15" customHeight="1" x14ac:dyDescent="0.2">
      <c r="A88" s="20">
        <v>17</v>
      </c>
      <c r="B88" s="86" t="s">
        <v>152</v>
      </c>
      <c r="C88" s="80"/>
      <c r="D88" s="80"/>
      <c r="E88" s="80"/>
      <c r="F88" s="80"/>
      <c r="G88" s="80"/>
      <c r="H88" s="80"/>
      <c r="I88" s="80"/>
      <c r="J88" s="80"/>
      <c r="K88" s="80"/>
      <c r="L88" s="85"/>
      <c r="M88" s="335">
        <f>IF(O85&lt;M86,0,ROUND((O85-M86)/3,-2))</f>
        <v>6400</v>
      </c>
      <c r="N88" s="276"/>
      <c r="O88" s="333"/>
      <c r="P88" s="275"/>
      <c r="Q88" s="276"/>
      <c r="R88" s="24"/>
      <c r="S88" s="24"/>
      <c r="T88" s="24"/>
      <c r="U88" s="24"/>
      <c r="V88" s="24"/>
      <c r="W88" s="24"/>
    </row>
    <row r="89" spans="1:23" ht="15" customHeight="1" x14ac:dyDescent="0.2">
      <c r="A89" s="20">
        <v>18</v>
      </c>
      <c r="B89" s="86" t="s">
        <v>153</v>
      </c>
      <c r="C89" s="80"/>
      <c r="D89" s="80"/>
      <c r="E89" s="80"/>
      <c r="F89" s="80"/>
      <c r="G89" s="80"/>
      <c r="H89" s="80"/>
      <c r="I89" s="80"/>
      <c r="J89" s="80"/>
      <c r="K89" s="80"/>
      <c r="L89" s="85"/>
      <c r="M89" s="335">
        <f>IF(O85&lt;M86,0,(O85-(M86+M87+M88)))</f>
        <v>6250</v>
      </c>
      <c r="N89" s="276"/>
      <c r="O89" s="333"/>
      <c r="P89" s="275"/>
      <c r="Q89" s="276"/>
      <c r="R89" s="24"/>
      <c r="S89" s="24"/>
      <c r="T89" s="24"/>
      <c r="U89" s="24"/>
      <c r="V89" s="24"/>
      <c r="W89" s="24"/>
    </row>
    <row r="90" spans="1:23" ht="15" customHeight="1" x14ac:dyDescent="0.2">
      <c r="A90" s="20"/>
      <c r="B90" s="357" t="s">
        <v>221</v>
      </c>
      <c r="C90" s="275"/>
      <c r="D90" s="275"/>
      <c r="E90" s="275"/>
      <c r="F90" s="275"/>
      <c r="G90" s="275"/>
      <c r="H90" s="275"/>
      <c r="I90" s="275"/>
      <c r="J90" s="275"/>
      <c r="K90" s="275"/>
      <c r="L90" s="276"/>
      <c r="M90" s="335">
        <f>SUM(M86:M89)</f>
        <v>73050</v>
      </c>
      <c r="N90" s="276"/>
      <c r="O90" s="331">
        <f>M90</f>
        <v>73050</v>
      </c>
      <c r="P90" s="275"/>
      <c r="Q90" s="276"/>
      <c r="R90" s="24"/>
      <c r="S90" s="24"/>
      <c r="T90" s="24"/>
      <c r="U90" s="24"/>
      <c r="V90" s="24"/>
      <c r="W90" s="24"/>
    </row>
    <row r="91" spans="1:23" ht="17.25" customHeight="1" x14ac:dyDescent="0.2">
      <c r="A91" s="374" t="s">
        <v>222</v>
      </c>
      <c r="B91" s="362"/>
      <c r="C91" s="362"/>
      <c r="D91" s="362"/>
      <c r="E91" s="362"/>
      <c r="F91" s="362"/>
      <c r="G91" s="362"/>
      <c r="H91" s="362"/>
      <c r="I91" s="362"/>
      <c r="J91" s="362"/>
      <c r="K91" s="362"/>
      <c r="L91" s="362"/>
      <c r="M91" s="362"/>
      <c r="N91" s="362"/>
      <c r="O91" s="362"/>
      <c r="P91" s="362"/>
      <c r="Q91" s="362"/>
      <c r="R91" s="24"/>
      <c r="S91" s="24"/>
      <c r="T91" s="24"/>
      <c r="U91" s="24"/>
      <c r="V91" s="24"/>
      <c r="W91" s="24"/>
    </row>
    <row r="92" spans="1:23" ht="16.5" customHeight="1" x14ac:dyDescent="0.2">
      <c r="A92" s="38" t="s">
        <v>157</v>
      </c>
      <c r="B92" s="363" t="str">
        <f>DATA!E6</f>
        <v xml:space="preserve">KADJODARA </v>
      </c>
      <c r="C92" s="362"/>
      <c r="D92" s="362"/>
      <c r="E92" s="362"/>
      <c r="F92" s="39"/>
      <c r="G92" s="39"/>
      <c r="H92" s="39"/>
      <c r="I92" s="39"/>
      <c r="J92" s="39"/>
      <c r="K92" s="39"/>
      <c r="L92" s="39"/>
      <c r="M92" s="361"/>
      <c r="N92" s="362"/>
      <c r="O92" s="362"/>
      <c r="P92" s="362"/>
      <c r="Q92" s="362"/>
      <c r="R92" s="24"/>
      <c r="S92" s="24"/>
      <c r="T92" s="24"/>
      <c r="U92" s="24"/>
      <c r="V92" s="24"/>
      <c r="W92" s="24"/>
    </row>
    <row r="93" spans="1:23" ht="15" customHeight="1" x14ac:dyDescent="0.2">
      <c r="A93" s="38" t="s">
        <v>158</v>
      </c>
      <c r="B93" s="364">
        <f ca="1">TODAY()</f>
        <v>46000</v>
      </c>
      <c r="C93" s="362"/>
      <c r="D93" s="362"/>
      <c r="E93" s="40" t="s">
        <v>159</v>
      </c>
      <c r="F93" s="363" t="s">
        <v>160</v>
      </c>
      <c r="G93" s="362"/>
      <c r="H93" s="362"/>
      <c r="I93" s="362"/>
      <c r="J93" s="362"/>
      <c r="K93" s="362"/>
      <c r="L93" s="39"/>
      <c r="M93" s="361" t="s">
        <v>161</v>
      </c>
      <c r="N93" s="362"/>
      <c r="O93" s="362"/>
      <c r="P93" s="362"/>
      <c r="Q93" s="362"/>
      <c r="R93" s="24"/>
      <c r="S93" s="24"/>
      <c r="T93" s="24"/>
      <c r="U93" s="24"/>
      <c r="V93" s="24"/>
      <c r="W93" s="24"/>
    </row>
    <row r="94" spans="1:23" ht="24" customHeight="1" x14ac:dyDescent="0.2">
      <c r="A94" s="365" t="s">
        <v>162</v>
      </c>
      <c r="B94" s="362"/>
      <c r="C94" s="362"/>
      <c r="D94" s="362"/>
      <c r="E94" s="362"/>
      <c r="F94" s="362"/>
      <c r="G94" s="362"/>
      <c r="H94" s="362"/>
      <c r="I94" s="362"/>
      <c r="J94" s="362"/>
      <c r="K94" s="362"/>
      <c r="L94" s="362"/>
      <c r="M94" s="362"/>
      <c r="N94" s="362"/>
      <c r="O94" s="362"/>
      <c r="P94" s="362"/>
      <c r="Q94" s="362"/>
      <c r="R94" s="24"/>
      <c r="S94" s="24"/>
      <c r="T94" s="24"/>
      <c r="U94" s="24"/>
      <c r="V94" s="24"/>
      <c r="W94" s="24"/>
    </row>
    <row r="95" spans="1:23" ht="20.25" customHeight="1" x14ac:dyDescent="0.2">
      <c r="A95" s="398" t="s">
        <v>163</v>
      </c>
      <c r="B95" s="291"/>
      <c r="C95" s="397" t="s">
        <v>164</v>
      </c>
      <c r="D95" s="395" t="s">
        <v>165</v>
      </c>
      <c r="E95" s="275"/>
      <c r="F95" s="275"/>
      <c r="G95" s="275"/>
      <c r="H95" s="275"/>
      <c r="I95" s="275"/>
      <c r="J95" s="275"/>
      <c r="K95" s="275"/>
      <c r="L95" s="275"/>
      <c r="M95" s="275"/>
      <c r="N95" s="275"/>
      <c r="O95" s="275"/>
      <c r="P95" s="275"/>
      <c r="Q95" s="276"/>
      <c r="R95" s="24"/>
      <c r="S95" s="24"/>
      <c r="T95" s="24"/>
      <c r="U95" s="24"/>
      <c r="V95" s="24"/>
      <c r="W95" s="24"/>
    </row>
    <row r="96" spans="1:23" ht="43.5" customHeight="1" x14ac:dyDescent="0.2">
      <c r="A96" s="286"/>
      <c r="B96" s="292"/>
      <c r="C96" s="283"/>
      <c r="D96" s="41" t="s">
        <v>166</v>
      </c>
      <c r="E96" s="42" t="s">
        <v>167</v>
      </c>
      <c r="F96" s="313" t="s">
        <v>168</v>
      </c>
      <c r="G96" s="276"/>
      <c r="H96" s="42"/>
      <c r="I96" s="42"/>
      <c r="J96" s="313" t="s">
        <v>74</v>
      </c>
      <c r="K96" s="276"/>
      <c r="L96" s="313" t="s">
        <v>169</v>
      </c>
      <c r="M96" s="276"/>
      <c r="N96" s="313" t="s">
        <v>170</v>
      </c>
      <c r="O96" s="276"/>
      <c r="P96" s="422" t="s">
        <v>223</v>
      </c>
      <c r="Q96" s="276"/>
      <c r="R96" s="24"/>
      <c r="S96" s="24"/>
      <c r="T96" s="24"/>
      <c r="U96" s="24"/>
      <c r="V96" s="24"/>
      <c r="W96" s="24"/>
    </row>
    <row r="97" spans="1:23" ht="21" customHeight="1" x14ac:dyDescent="0.2">
      <c r="A97" s="332" t="s">
        <v>224</v>
      </c>
      <c r="B97" s="276"/>
      <c r="C97" s="43">
        <f t="shared" ref="C97:C108" si="44">K6</f>
        <v>97163</v>
      </c>
      <c r="D97" s="44">
        <v>0</v>
      </c>
      <c r="E97" s="45">
        <f>L6</f>
        <v>20000</v>
      </c>
      <c r="F97" s="330">
        <f>O6</f>
        <v>0</v>
      </c>
      <c r="G97" s="276"/>
      <c r="H97" s="46"/>
      <c r="I97" s="46"/>
      <c r="J97" s="330">
        <f t="shared" ref="J97:J108" si="45">N6</f>
        <v>200</v>
      </c>
      <c r="K97" s="276"/>
      <c r="L97" s="330">
        <f t="shared" ref="L97:L108" si="46">M6</f>
        <v>800</v>
      </c>
      <c r="M97" s="276"/>
      <c r="N97" s="330">
        <v>0</v>
      </c>
      <c r="O97" s="276"/>
      <c r="P97" s="330">
        <f t="shared" ref="P97:P108" si="47">Q6</f>
        <v>6000</v>
      </c>
      <c r="Q97" s="276"/>
      <c r="R97" s="24"/>
      <c r="S97" s="24"/>
      <c r="T97" s="24"/>
      <c r="U97" s="24"/>
      <c r="V97" s="24"/>
      <c r="W97" s="24"/>
    </row>
    <row r="98" spans="1:23" ht="21" customHeight="1" x14ac:dyDescent="0.2">
      <c r="A98" s="332" t="s">
        <v>225</v>
      </c>
      <c r="B98" s="276"/>
      <c r="C98" s="43">
        <f t="shared" si="44"/>
        <v>97163</v>
      </c>
      <c r="D98" s="44">
        <v>0</v>
      </c>
      <c r="E98" s="45">
        <f t="shared" ref="E98:F98" si="48">E97</f>
        <v>20000</v>
      </c>
      <c r="F98" s="330">
        <f t="shared" si="48"/>
        <v>0</v>
      </c>
      <c r="G98" s="276"/>
      <c r="H98" s="46"/>
      <c r="I98" s="46"/>
      <c r="J98" s="330">
        <f t="shared" si="45"/>
        <v>200</v>
      </c>
      <c r="K98" s="276"/>
      <c r="L98" s="330">
        <f t="shared" si="46"/>
        <v>800</v>
      </c>
      <c r="M98" s="276"/>
      <c r="N98" s="330">
        <v>0</v>
      </c>
      <c r="O98" s="276"/>
      <c r="P98" s="330">
        <f t="shared" si="47"/>
        <v>6000</v>
      </c>
      <c r="Q98" s="276"/>
      <c r="R98" s="24"/>
      <c r="S98" s="24"/>
      <c r="T98" s="24"/>
      <c r="U98" s="24"/>
      <c r="V98" s="24"/>
      <c r="W98" s="24"/>
    </row>
    <row r="99" spans="1:23" ht="21" customHeight="1" x14ac:dyDescent="0.2">
      <c r="A99" s="332" t="s">
        <v>226</v>
      </c>
      <c r="B99" s="276"/>
      <c r="C99" s="43">
        <f t="shared" si="44"/>
        <v>97163</v>
      </c>
      <c r="D99" s="44">
        <v>0</v>
      </c>
      <c r="E99" s="45">
        <f t="shared" ref="E99:F99" si="49">E98</f>
        <v>20000</v>
      </c>
      <c r="F99" s="330">
        <f t="shared" si="49"/>
        <v>0</v>
      </c>
      <c r="G99" s="276"/>
      <c r="H99" s="46"/>
      <c r="I99" s="46"/>
      <c r="J99" s="330">
        <f t="shared" si="45"/>
        <v>200</v>
      </c>
      <c r="K99" s="276"/>
      <c r="L99" s="330">
        <f t="shared" si="46"/>
        <v>800</v>
      </c>
      <c r="M99" s="276"/>
      <c r="N99" s="330">
        <v>0</v>
      </c>
      <c r="O99" s="276"/>
      <c r="P99" s="330">
        <f t="shared" si="47"/>
        <v>6000</v>
      </c>
      <c r="Q99" s="276"/>
      <c r="R99" s="24"/>
      <c r="S99" s="24"/>
      <c r="T99" s="24"/>
      <c r="U99" s="24"/>
      <c r="V99" s="24"/>
      <c r="W99" s="24"/>
    </row>
    <row r="100" spans="1:23" ht="21" customHeight="1" x14ac:dyDescent="0.2">
      <c r="A100" s="332" t="s">
        <v>227</v>
      </c>
      <c r="B100" s="276"/>
      <c r="C100" s="43">
        <f t="shared" si="44"/>
        <v>97163</v>
      </c>
      <c r="D100" s="44">
        <v>0</v>
      </c>
      <c r="E100" s="45">
        <f t="shared" ref="E100:F100" si="50">E99</f>
        <v>20000</v>
      </c>
      <c r="F100" s="330">
        <f t="shared" si="50"/>
        <v>0</v>
      </c>
      <c r="G100" s="276"/>
      <c r="H100" s="46"/>
      <c r="I100" s="46"/>
      <c r="J100" s="330">
        <f t="shared" si="45"/>
        <v>200</v>
      </c>
      <c r="K100" s="276"/>
      <c r="L100" s="330">
        <f t="shared" si="46"/>
        <v>800</v>
      </c>
      <c r="M100" s="276"/>
      <c r="N100" s="330">
        <v>0</v>
      </c>
      <c r="O100" s="276"/>
      <c r="P100" s="330">
        <f t="shared" si="47"/>
        <v>6000</v>
      </c>
      <c r="Q100" s="276"/>
      <c r="R100" s="24"/>
      <c r="S100" s="24"/>
      <c r="T100" s="24"/>
      <c r="U100" s="24"/>
      <c r="V100" s="24"/>
      <c r="W100" s="24"/>
    </row>
    <row r="101" spans="1:23" ht="21" customHeight="1" x14ac:dyDescent="0.2">
      <c r="A101" s="332" t="s">
        <v>228</v>
      </c>
      <c r="B101" s="276"/>
      <c r="C101" s="43">
        <f t="shared" si="44"/>
        <v>102653</v>
      </c>
      <c r="D101" s="44">
        <v>0</v>
      </c>
      <c r="E101" s="45">
        <f t="shared" ref="E101:F101" si="51">E100</f>
        <v>20000</v>
      </c>
      <c r="F101" s="330">
        <f t="shared" si="51"/>
        <v>0</v>
      </c>
      <c r="G101" s="276"/>
      <c r="H101" s="46"/>
      <c r="I101" s="46"/>
      <c r="J101" s="330">
        <f t="shared" si="45"/>
        <v>200</v>
      </c>
      <c r="K101" s="276"/>
      <c r="L101" s="330">
        <f t="shared" si="46"/>
        <v>800</v>
      </c>
      <c r="M101" s="276"/>
      <c r="N101" s="330">
        <v>0</v>
      </c>
      <c r="O101" s="276"/>
      <c r="P101" s="330">
        <f t="shared" si="47"/>
        <v>6000</v>
      </c>
      <c r="Q101" s="276"/>
      <c r="R101" s="24"/>
      <c r="S101" s="24"/>
      <c r="T101" s="24"/>
      <c r="U101" s="24"/>
      <c r="V101" s="24"/>
      <c r="W101" s="24"/>
    </row>
    <row r="102" spans="1:23" ht="21" customHeight="1" x14ac:dyDescent="0.2">
      <c r="A102" s="332" t="s">
        <v>229</v>
      </c>
      <c r="B102" s="276"/>
      <c r="C102" s="43">
        <f t="shared" si="44"/>
        <v>102653</v>
      </c>
      <c r="D102" s="44">
        <v>0</v>
      </c>
      <c r="E102" s="45">
        <f t="shared" ref="E102:F102" si="52">E101</f>
        <v>20000</v>
      </c>
      <c r="F102" s="330">
        <f t="shared" si="52"/>
        <v>0</v>
      </c>
      <c r="G102" s="276"/>
      <c r="H102" s="46"/>
      <c r="I102" s="46"/>
      <c r="J102" s="330">
        <f t="shared" si="45"/>
        <v>200</v>
      </c>
      <c r="K102" s="276"/>
      <c r="L102" s="330">
        <f t="shared" si="46"/>
        <v>800</v>
      </c>
      <c r="M102" s="276"/>
      <c r="N102" s="330">
        <v>0</v>
      </c>
      <c r="O102" s="276"/>
      <c r="P102" s="330">
        <f t="shared" si="47"/>
        <v>6000</v>
      </c>
      <c r="Q102" s="276"/>
      <c r="R102" s="24"/>
      <c r="S102" s="24"/>
      <c r="T102" s="24"/>
      <c r="U102" s="24"/>
      <c r="V102" s="24"/>
      <c r="W102" s="24"/>
    </row>
    <row r="103" spans="1:23" ht="21" customHeight="1" x14ac:dyDescent="0.2">
      <c r="A103" s="332" t="s">
        <v>230</v>
      </c>
      <c r="B103" s="276"/>
      <c r="C103" s="43">
        <f t="shared" si="44"/>
        <v>102653</v>
      </c>
      <c r="D103" s="44">
        <v>0</v>
      </c>
      <c r="E103" s="45">
        <f t="shared" ref="E103:F103" si="53">E102</f>
        <v>20000</v>
      </c>
      <c r="F103" s="330">
        <f t="shared" si="53"/>
        <v>0</v>
      </c>
      <c r="G103" s="276"/>
      <c r="H103" s="46"/>
      <c r="I103" s="46"/>
      <c r="J103" s="330">
        <f t="shared" si="45"/>
        <v>200</v>
      </c>
      <c r="K103" s="276"/>
      <c r="L103" s="330">
        <f t="shared" si="46"/>
        <v>800</v>
      </c>
      <c r="M103" s="276"/>
      <c r="N103" s="330">
        <v>0</v>
      </c>
      <c r="O103" s="276"/>
      <c r="P103" s="330">
        <f t="shared" si="47"/>
        <v>6000</v>
      </c>
      <c r="Q103" s="276"/>
      <c r="R103" s="24"/>
      <c r="S103" s="24"/>
      <c r="T103" s="24"/>
      <c r="U103" s="24"/>
      <c r="V103" s="24"/>
      <c r="W103" s="24"/>
    </row>
    <row r="104" spans="1:23" ht="21" customHeight="1" x14ac:dyDescent="0.2">
      <c r="A104" s="332" t="s">
        <v>231</v>
      </c>
      <c r="B104" s="276"/>
      <c r="C104" s="43">
        <f t="shared" si="44"/>
        <v>102653</v>
      </c>
      <c r="D104" s="44">
        <v>0</v>
      </c>
      <c r="E104" s="45">
        <f t="shared" ref="E104:F104" si="54">E103</f>
        <v>20000</v>
      </c>
      <c r="F104" s="330">
        <f t="shared" si="54"/>
        <v>0</v>
      </c>
      <c r="G104" s="276"/>
      <c r="H104" s="46"/>
      <c r="I104" s="46"/>
      <c r="J104" s="330">
        <f t="shared" si="45"/>
        <v>200</v>
      </c>
      <c r="K104" s="276"/>
      <c r="L104" s="330">
        <f t="shared" si="46"/>
        <v>800</v>
      </c>
      <c r="M104" s="276"/>
      <c r="N104" s="330">
        <v>0</v>
      </c>
      <c r="O104" s="276"/>
      <c r="P104" s="330">
        <f t="shared" si="47"/>
        <v>6000</v>
      </c>
      <c r="Q104" s="276"/>
      <c r="R104" s="24"/>
      <c r="S104" s="24"/>
      <c r="T104" s="24"/>
      <c r="U104" s="24"/>
      <c r="V104" s="24"/>
      <c r="W104" s="24"/>
    </row>
    <row r="105" spans="1:23" ht="21" customHeight="1" x14ac:dyDescent="0.2">
      <c r="A105" s="332" t="s">
        <v>232</v>
      </c>
      <c r="B105" s="276"/>
      <c r="C105" s="43">
        <f t="shared" si="44"/>
        <v>102653</v>
      </c>
      <c r="D105" s="44">
        <v>0</v>
      </c>
      <c r="E105" s="45">
        <f t="shared" ref="E105:F105" si="55">E104</f>
        <v>20000</v>
      </c>
      <c r="F105" s="330">
        <f t="shared" si="55"/>
        <v>0</v>
      </c>
      <c r="G105" s="276"/>
      <c r="H105" s="46"/>
      <c r="I105" s="46"/>
      <c r="J105" s="330">
        <f t="shared" si="45"/>
        <v>200</v>
      </c>
      <c r="K105" s="276"/>
      <c r="L105" s="330">
        <f t="shared" si="46"/>
        <v>800</v>
      </c>
      <c r="M105" s="276"/>
      <c r="N105" s="330">
        <v>0</v>
      </c>
      <c r="O105" s="276"/>
      <c r="P105" s="330">
        <f t="shared" si="47"/>
        <v>6000</v>
      </c>
      <c r="Q105" s="276"/>
      <c r="R105" s="24"/>
      <c r="S105" s="24"/>
      <c r="T105" s="24"/>
      <c r="U105" s="24"/>
      <c r="V105" s="24"/>
      <c r="W105" s="24"/>
    </row>
    <row r="106" spans="1:23" ht="21" customHeight="1" x14ac:dyDescent="0.2">
      <c r="A106" s="332" t="s">
        <v>233</v>
      </c>
      <c r="B106" s="276"/>
      <c r="C106" s="43">
        <f t="shared" si="44"/>
        <v>102653</v>
      </c>
      <c r="D106" s="44">
        <v>0</v>
      </c>
      <c r="E106" s="45">
        <f t="shared" ref="E106:F106" si="56">E105</f>
        <v>20000</v>
      </c>
      <c r="F106" s="330">
        <f t="shared" si="56"/>
        <v>0</v>
      </c>
      <c r="G106" s="276"/>
      <c r="H106" s="46"/>
      <c r="I106" s="46"/>
      <c r="J106" s="330">
        <f t="shared" si="45"/>
        <v>200</v>
      </c>
      <c r="K106" s="276"/>
      <c r="L106" s="330">
        <f t="shared" si="46"/>
        <v>800</v>
      </c>
      <c r="M106" s="276"/>
      <c r="N106" s="330">
        <v>0</v>
      </c>
      <c r="O106" s="276"/>
      <c r="P106" s="330">
        <f t="shared" si="47"/>
        <v>6400</v>
      </c>
      <c r="Q106" s="276"/>
      <c r="R106" s="24"/>
      <c r="S106" s="24"/>
      <c r="T106" s="24"/>
      <c r="U106" s="24"/>
      <c r="V106" s="24"/>
      <c r="W106" s="24"/>
    </row>
    <row r="107" spans="1:23" ht="21" customHeight="1" x14ac:dyDescent="0.2">
      <c r="A107" s="332" t="s">
        <v>234</v>
      </c>
      <c r="B107" s="276"/>
      <c r="C107" s="43">
        <f t="shared" si="44"/>
        <v>102653</v>
      </c>
      <c r="D107" s="44">
        <v>0</v>
      </c>
      <c r="E107" s="45">
        <f t="shared" ref="E107:F107" si="57">E106</f>
        <v>20000</v>
      </c>
      <c r="F107" s="330">
        <f t="shared" si="57"/>
        <v>0</v>
      </c>
      <c r="G107" s="276"/>
      <c r="H107" s="46"/>
      <c r="I107" s="46"/>
      <c r="J107" s="330">
        <f t="shared" si="45"/>
        <v>200</v>
      </c>
      <c r="K107" s="276"/>
      <c r="L107" s="330">
        <f t="shared" si="46"/>
        <v>800</v>
      </c>
      <c r="M107" s="276"/>
      <c r="N107" s="330">
        <v>0</v>
      </c>
      <c r="O107" s="276"/>
      <c r="P107" s="330">
        <f t="shared" si="47"/>
        <v>6400</v>
      </c>
      <c r="Q107" s="276"/>
      <c r="R107" s="24"/>
      <c r="S107" s="24"/>
      <c r="T107" s="24"/>
      <c r="U107" s="24"/>
      <c r="V107" s="24"/>
      <c r="W107" s="24"/>
    </row>
    <row r="108" spans="1:23" ht="21" customHeight="1" x14ac:dyDescent="0.2">
      <c r="A108" s="332" t="s">
        <v>235</v>
      </c>
      <c r="B108" s="276"/>
      <c r="C108" s="43">
        <f t="shared" si="44"/>
        <v>102653</v>
      </c>
      <c r="D108" s="44">
        <v>0</v>
      </c>
      <c r="E108" s="45">
        <f t="shared" ref="E108:F108" si="58">E107</f>
        <v>20000</v>
      </c>
      <c r="F108" s="330">
        <f t="shared" si="58"/>
        <v>0</v>
      </c>
      <c r="G108" s="276"/>
      <c r="H108" s="46"/>
      <c r="I108" s="46"/>
      <c r="J108" s="330">
        <f t="shared" si="45"/>
        <v>200</v>
      </c>
      <c r="K108" s="276"/>
      <c r="L108" s="330">
        <f t="shared" si="46"/>
        <v>800</v>
      </c>
      <c r="M108" s="276"/>
      <c r="N108" s="330">
        <v>0</v>
      </c>
      <c r="O108" s="276"/>
      <c r="P108" s="330">
        <f t="shared" si="47"/>
        <v>6250</v>
      </c>
      <c r="Q108" s="276"/>
      <c r="R108" s="24"/>
      <c r="S108" s="24"/>
      <c r="T108" s="24"/>
      <c r="U108" s="24"/>
      <c r="V108" s="24"/>
      <c r="W108" s="24"/>
    </row>
    <row r="109" spans="1:23" ht="21" customHeight="1" x14ac:dyDescent="0.2">
      <c r="A109" s="368" t="str">
        <f>DATA!B16</f>
        <v>મોં.પુરવણી 1/01/2025 થી 31/03/2025</v>
      </c>
      <c r="B109" s="276"/>
      <c r="C109" s="47">
        <f t="shared" ref="C109:C117" si="59">D19</f>
        <v>0</v>
      </c>
      <c r="D109" s="48"/>
      <c r="E109" s="49"/>
      <c r="F109" s="330"/>
      <c r="G109" s="276"/>
      <c r="H109" s="46"/>
      <c r="I109" s="46"/>
      <c r="J109" s="330"/>
      <c r="K109" s="276"/>
      <c r="L109" s="330"/>
      <c r="M109" s="276"/>
      <c r="N109" s="330"/>
      <c r="O109" s="276"/>
      <c r="P109" s="330"/>
      <c r="Q109" s="276"/>
      <c r="R109" s="24"/>
      <c r="S109" s="24"/>
      <c r="T109" s="24"/>
      <c r="U109" s="24"/>
      <c r="V109" s="24"/>
      <c r="W109" s="24"/>
    </row>
    <row r="110" spans="1:23" ht="21" customHeight="1" x14ac:dyDescent="0.2">
      <c r="A110" s="368" t="str">
        <f>DATA!B17</f>
        <v>મોં.પુરવણી 1/07/2025 થી 30/09/2025</v>
      </c>
      <c r="B110" s="276"/>
      <c r="C110" s="47">
        <f t="shared" si="59"/>
        <v>0</v>
      </c>
      <c r="D110" s="48"/>
      <c r="E110" s="49"/>
      <c r="F110" s="330"/>
      <c r="G110" s="276"/>
      <c r="H110" s="46"/>
      <c r="I110" s="46"/>
      <c r="J110" s="330"/>
      <c r="K110" s="276"/>
      <c r="L110" s="330"/>
      <c r="M110" s="276"/>
      <c r="N110" s="330"/>
      <c r="O110" s="276"/>
      <c r="P110" s="330"/>
      <c r="Q110" s="276"/>
      <c r="R110" s="24"/>
      <c r="S110" s="24"/>
      <c r="T110" s="24"/>
      <c r="U110" s="24"/>
      <c r="V110" s="24"/>
      <c r="W110" s="24"/>
    </row>
    <row r="111" spans="1:23" ht="21" customHeight="1" x14ac:dyDescent="0.2">
      <c r="A111" s="368" t="str">
        <f>DATA!B18</f>
        <v>ઉચ્ચતર પુરવાણી ૧</v>
      </c>
      <c r="B111" s="276"/>
      <c r="C111" s="47">
        <f t="shared" si="59"/>
        <v>0</v>
      </c>
      <c r="D111" s="48"/>
      <c r="E111" s="49"/>
      <c r="F111" s="330"/>
      <c r="G111" s="276"/>
      <c r="H111" s="46"/>
      <c r="I111" s="46"/>
      <c r="J111" s="330"/>
      <c r="K111" s="276"/>
      <c r="L111" s="330"/>
      <c r="M111" s="276"/>
      <c r="N111" s="330"/>
      <c r="O111" s="276"/>
      <c r="P111" s="330"/>
      <c r="Q111" s="276"/>
      <c r="R111" s="24"/>
      <c r="S111" s="24"/>
      <c r="T111" s="24"/>
      <c r="U111" s="24"/>
      <c r="V111" s="24"/>
      <c r="W111" s="24"/>
    </row>
    <row r="112" spans="1:23" ht="21" customHeight="1" x14ac:dyDescent="0.2">
      <c r="A112" s="368" t="str">
        <f>DATA!B19</f>
        <v>ઉચ્ચતર પુરવાણી ૨</v>
      </c>
      <c r="B112" s="276"/>
      <c r="C112" s="47">
        <f t="shared" si="59"/>
        <v>0</v>
      </c>
      <c r="D112" s="48"/>
      <c r="E112" s="49"/>
      <c r="F112" s="330"/>
      <c r="G112" s="276"/>
      <c r="H112" s="46"/>
      <c r="I112" s="46"/>
      <c r="J112" s="330"/>
      <c r="K112" s="276"/>
      <c r="L112" s="330"/>
      <c r="M112" s="276"/>
      <c r="N112" s="330"/>
      <c r="O112" s="276"/>
      <c r="P112" s="330"/>
      <c r="Q112" s="276"/>
      <c r="R112" s="24"/>
      <c r="S112" s="24"/>
      <c r="T112" s="24"/>
      <c r="U112" s="24"/>
      <c r="V112" s="24"/>
      <c r="W112" s="24"/>
    </row>
    <row r="113" spans="1:23" ht="21" customHeight="1" x14ac:dyDescent="0.2">
      <c r="A113" s="368" t="str">
        <f>DATA!B20</f>
        <v xml:space="preserve">પગાર તફાવત </v>
      </c>
      <c r="B113" s="276"/>
      <c r="C113" s="47">
        <f t="shared" si="59"/>
        <v>0</v>
      </c>
      <c r="D113" s="48"/>
      <c r="E113" s="49"/>
      <c r="F113" s="330"/>
      <c r="G113" s="276"/>
      <c r="H113" s="46"/>
      <c r="I113" s="46"/>
      <c r="J113" s="330"/>
      <c r="K113" s="276"/>
      <c r="L113" s="330"/>
      <c r="M113" s="276"/>
      <c r="N113" s="330"/>
      <c r="O113" s="276"/>
      <c r="P113" s="330"/>
      <c r="Q113" s="276"/>
      <c r="R113" s="24"/>
      <c r="S113" s="24"/>
      <c r="T113" s="24"/>
      <c r="U113" s="24"/>
      <c r="V113" s="24"/>
      <c r="W113" s="24"/>
    </row>
    <row r="114" spans="1:23" ht="18.75" customHeight="1" x14ac:dyDescent="0.2">
      <c r="A114" s="368" t="str">
        <f>DATA!B21</f>
        <v>LTC બીલ</v>
      </c>
      <c r="B114" s="276"/>
      <c r="C114" s="47">
        <f t="shared" si="59"/>
        <v>0</v>
      </c>
      <c r="D114" s="48"/>
      <c r="E114" s="49"/>
      <c r="F114" s="330"/>
      <c r="G114" s="276"/>
      <c r="H114" s="46"/>
      <c r="I114" s="46"/>
      <c r="J114" s="330"/>
      <c r="K114" s="276"/>
      <c r="L114" s="330"/>
      <c r="M114" s="276"/>
      <c r="N114" s="330"/>
      <c r="O114" s="276"/>
      <c r="P114" s="330"/>
      <c r="Q114" s="276"/>
      <c r="R114" s="24"/>
      <c r="S114" s="24"/>
      <c r="T114" s="24"/>
      <c r="U114" s="24"/>
      <c r="V114" s="24"/>
      <c r="W114" s="24"/>
    </row>
    <row r="115" spans="1:23" ht="21" customHeight="1" x14ac:dyDescent="0.2">
      <c r="A115" s="368" t="str">
        <f>DATA!B22</f>
        <v>અન્ય પુરવણી બીલ</v>
      </c>
      <c r="B115" s="276"/>
      <c r="C115" s="47">
        <f t="shared" si="59"/>
        <v>0</v>
      </c>
      <c r="D115" s="48"/>
      <c r="E115" s="49"/>
      <c r="F115" s="330"/>
      <c r="G115" s="276"/>
      <c r="H115" s="46"/>
      <c r="I115" s="46"/>
      <c r="J115" s="330"/>
      <c r="K115" s="276"/>
      <c r="L115" s="330"/>
      <c r="M115" s="276"/>
      <c r="N115" s="330"/>
      <c r="O115" s="276"/>
      <c r="P115" s="330"/>
      <c r="Q115" s="276"/>
      <c r="R115" s="24"/>
      <c r="S115" s="24"/>
      <c r="T115" s="24"/>
      <c r="U115" s="24"/>
      <c r="V115" s="24"/>
      <c r="W115" s="24"/>
    </row>
    <row r="116" spans="1:23" ht="21" customHeight="1" x14ac:dyDescent="0.2">
      <c r="A116" s="368" t="str">
        <f>DATA!B23</f>
        <v>.</v>
      </c>
      <c r="B116" s="276"/>
      <c r="C116" s="47">
        <f t="shared" si="59"/>
        <v>0</v>
      </c>
      <c r="D116" s="48"/>
      <c r="E116" s="49"/>
      <c r="F116" s="330"/>
      <c r="G116" s="276"/>
      <c r="H116" s="46"/>
      <c r="I116" s="46"/>
      <c r="J116" s="330"/>
      <c r="K116" s="276"/>
      <c r="L116" s="330"/>
      <c r="M116" s="276"/>
      <c r="N116" s="330"/>
      <c r="O116" s="276"/>
      <c r="P116" s="330"/>
      <c r="Q116" s="276"/>
      <c r="R116" s="24"/>
      <c r="S116" s="24"/>
      <c r="T116" s="24"/>
      <c r="U116" s="24"/>
      <c r="V116" s="24"/>
      <c r="W116" s="24"/>
    </row>
    <row r="117" spans="1:23" ht="21" customHeight="1" x14ac:dyDescent="0.2">
      <c r="A117" s="368" t="str">
        <f>DATA!B24</f>
        <v>.</v>
      </c>
      <c r="B117" s="276"/>
      <c r="C117" s="47">
        <f t="shared" si="59"/>
        <v>0</v>
      </c>
      <c r="D117" s="48"/>
      <c r="E117" s="49"/>
      <c r="F117" s="27"/>
      <c r="G117" s="50"/>
      <c r="H117" s="51"/>
      <c r="I117" s="51"/>
      <c r="J117" s="330"/>
      <c r="K117" s="276"/>
      <c r="L117" s="330"/>
      <c r="M117" s="276"/>
      <c r="N117" s="330"/>
      <c r="O117" s="276"/>
      <c r="P117" s="330"/>
      <c r="Q117" s="276"/>
      <c r="R117" s="24"/>
      <c r="S117" s="24"/>
      <c r="T117" s="24"/>
      <c r="U117" s="24"/>
      <c r="V117" s="24"/>
      <c r="W117" s="24"/>
    </row>
    <row r="118" spans="1:23" ht="23.25" customHeight="1" x14ac:dyDescent="0.2">
      <c r="A118" s="316" t="s">
        <v>172</v>
      </c>
      <c r="B118" s="276"/>
      <c r="C118" s="52">
        <f>SUM(C97:C117)</f>
        <v>1209876</v>
      </c>
      <c r="D118" s="53">
        <f>SUM(D97:D116)</f>
        <v>0</v>
      </c>
      <c r="E118" s="52">
        <f t="shared" ref="E118:F118" si="60">SUM(E97:E117)</f>
        <v>240000</v>
      </c>
      <c r="F118" s="369">
        <f t="shared" si="60"/>
        <v>0</v>
      </c>
      <c r="G118" s="276"/>
      <c r="H118" s="54"/>
      <c r="I118" s="54"/>
      <c r="J118" s="319">
        <f>SUM(J97:J117)</f>
        <v>2400</v>
      </c>
      <c r="K118" s="276"/>
      <c r="L118" s="319">
        <f>SUM(L97:L117)</f>
        <v>9600</v>
      </c>
      <c r="M118" s="276"/>
      <c r="N118" s="319">
        <f>SUM(N97:N117)</f>
        <v>0</v>
      </c>
      <c r="O118" s="276"/>
      <c r="P118" s="319">
        <f>SUM(P97:P117)</f>
        <v>73050</v>
      </c>
      <c r="Q118" s="276"/>
      <c r="R118" s="24"/>
      <c r="S118" s="61"/>
      <c r="T118" s="24"/>
      <c r="U118" s="24"/>
      <c r="V118" s="24"/>
      <c r="W118" s="24"/>
    </row>
    <row r="119" spans="1:23" ht="20.25" customHeight="1" x14ac:dyDescent="0.2">
      <c r="A119" s="313" t="s">
        <v>236</v>
      </c>
      <c r="B119" s="275"/>
      <c r="C119" s="275"/>
      <c r="D119" s="275"/>
      <c r="E119" s="275"/>
      <c r="F119" s="275"/>
      <c r="G119" s="275"/>
      <c r="H119" s="275"/>
      <c r="I119" s="275"/>
      <c r="J119" s="275"/>
      <c r="K119" s="275"/>
      <c r="L119" s="275"/>
      <c r="M119" s="275"/>
      <c r="N119" s="275"/>
      <c r="O119" s="275"/>
      <c r="P119" s="275"/>
      <c r="Q119" s="276"/>
      <c r="R119" s="24"/>
      <c r="S119" s="24"/>
      <c r="T119" s="24"/>
      <c r="U119" s="24"/>
      <c r="V119" s="24"/>
      <c r="W119" s="24"/>
    </row>
    <row r="120" spans="1:23" ht="24.75" customHeight="1" x14ac:dyDescent="0.2">
      <c r="A120" s="369" t="s">
        <v>173</v>
      </c>
      <c r="B120" s="276"/>
      <c r="C120" s="369" t="s">
        <v>174</v>
      </c>
      <c r="D120" s="276"/>
      <c r="E120" s="55" t="s">
        <v>175</v>
      </c>
      <c r="F120" s="369" t="s">
        <v>176</v>
      </c>
      <c r="G120" s="276"/>
      <c r="H120" s="55"/>
      <c r="I120" s="55"/>
      <c r="J120" s="369" t="s">
        <v>177</v>
      </c>
      <c r="K120" s="275"/>
      <c r="L120" s="276"/>
      <c r="M120" s="369" t="s">
        <v>178</v>
      </c>
      <c r="N120" s="275"/>
      <c r="O120" s="275"/>
      <c r="P120" s="275"/>
      <c r="Q120" s="276"/>
      <c r="R120" s="24"/>
      <c r="S120" s="24"/>
      <c r="T120" s="24"/>
      <c r="U120" s="24"/>
      <c r="V120" s="24"/>
      <c r="W120" s="24"/>
    </row>
    <row r="121" spans="1:23" ht="18" customHeight="1" x14ac:dyDescent="0.2">
      <c r="A121" s="313">
        <v>1</v>
      </c>
      <c r="B121" s="276"/>
      <c r="C121" s="394" t="s">
        <v>34</v>
      </c>
      <c r="D121" s="276"/>
      <c r="E121" s="56" t="str">
        <f>DATA!E5&amp;"-"&amp;DATA!F5</f>
        <v>2025-2026</v>
      </c>
      <c r="F121" s="313">
        <f>M45</f>
        <v>0</v>
      </c>
      <c r="G121" s="276"/>
      <c r="H121" s="42"/>
      <c r="I121" s="42"/>
      <c r="J121" s="313"/>
      <c r="K121" s="275"/>
      <c r="L121" s="276"/>
      <c r="M121" s="313"/>
      <c r="N121" s="275"/>
      <c r="O121" s="275"/>
      <c r="P121" s="275"/>
      <c r="Q121" s="276"/>
      <c r="R121" s="24"/>
      <c r="S121" s="24"/>
      <c r="T121" s="24"/>
      <c r="U121" s="24"/>
      <c r="V121" s="24"/>
      <c r="W121" s="24"/>
    </row>
    <row r="122" spans="1:23" ht="18" customHeight="1" x14ac:dyDescent="0.2">
      <c r="A122" s="313">
        <v>2</v>
      </c>
      <c r="B122" s="276"/>
      <c r="C122" s="394" t="s">
        <v>124</v>
      </c>
      <c r="D122" s="276"/>
      <c r="E122" s="57" t="str">
        <f t="shared" ref="E122:E133" si="61">E121</f>
        <v>2025-2026</v>
      </c>
      <c r="F122" s="313">
        <f t="shared" ref="F122:F129" si="62">M51</f>
        <v>0</v>
      </c>
      <c r="G122" s="276"/>
      <c r="H122" s="42"/>
      <c r="I122" s="42"/>
      <c r="J122" s="313"/>
      <c r="K122" s="275"/>
      <c r="L122" s="276"/>
      <c r="M122" s="313"/>
      <c r="N122" s="275"/>
      <c r="O122" s="275"/>
      <c r="P122" s="275"/>
      <c r="Q122" s="276"/>
      <c r="R122" s="24"/>
      <c r="S122" s="24"/>
      <c r="T122" s="24"/>
      <c r="U122" s="24"/>
      <c r="V122" s="24"/>
      <c r="W122" s="24"/>
    </row>
    <row r="123" spans="1:23" ht="18" customHeight="1" x14ac:dyDescent="0.2">
      <c r="A123" s="313">
        <v>3</v>
      </c>
      <c r="B123" s="276"/>
      <c r="C123" s="394" t="s">
        <v>39</v>
      </c>
      <c r="D123" s="276"/>
      <c r="E123" s="57" t="str">
        <f t="shared" si="61"/>
        <v>2025-2026</v>
      </c>
      <c r="F123" s="313">
        <f t="shared" si="62"/>
        <v>0</v>
      </c>
      <c r="G123" s="276"/>
      <c r="H123" s="42"/>
      <c r="I123" s="42"/>
      <c r="J123" s="313"/>
      <c r="K123" s="275"/>
      <c r="L123" s="276"/>
      <c r="M123" s="313"/>
      <c r="N123" s="275"/>
      <c r="O123" s="275"/>
      <c r="P123" s="275"/>
      <c r="Q123" s="276"/>
      <c r="R123" s="24"/>
      <c r="S123" s="24"/>
      <c r="T123" s="24"/>
      <c r="U123" s="24"/>
      <c r="V123" s="24"/>
      <c r="W123" s="24"/>
    </row>
    <row r="124" spans="1:23" ht="18" customHeight="1" x14ac:dyDescent="0.2">
      <c r="A124" s="313">
        <v>4</v>
      </c>
      <c r="B124" s="276"/>
      <c r="C124" s="394" t="s">
        <v>41</v>
      </c>
      <c r="D124" s="276"/>
      <c r="E124" s="57" t="str">
        <f t="shared" si="61"/>
        <v>2025-2026</v>
      </c>
      <c r="F124" s="313">
        <f t="shared" si="62"/>
        <v>0</v>
      </c>
      <c r="G124" s="276"/>
      <c r="H124" s="42"/>
      <c r="I124" s="42"/>
      <c r="J124" s="313"/>
      <c r="K124" s="275"/>
      <c r="L124" s="276"/>
      <c r="M124" s="313"/>
      <c r="N124" s="275"/>
      <c r="O124" s="275"/>
      <c r="P124" s="275"/>
      <c r="Q124" s="276"/>
      <c r="R124" s="24"/>
      <c r="S124" s="24"/>
      <c r="T124" s="24"/>
      <c r="U124" s="24"/>
      <c r="V124" s="24"/>
      <c r="W124" s="24"/>
    </row>
    <row r="125" spans="1:23" ht="18" customHeight="1" x14ac:dyDescent="0.2">
      <c r="A125" s="313">
        <v>5</v>
      </c>
      <c r="B125" s="276"/>
      <c r="C125" s="394" t="s">
        <v>49</v>
      </c>
      <c r="D125" s="276"/>
      <c r="E125" s="57" t="str">
        <f t="shared" si="61"/>
        <v>2025-2026</v>
      </c>
      <c r="F125" s="313">
        <f t="shared" si="62"/>
        <v>0</v>
      </c>
      <c r="G125" s="276"/>
      <c r="H125" s="42"/>
      <c r="I125" s="42"/>
      <c r="J125" s="313"/>
      <c r="K125" s="275"/>
      <c r="L125" s="276"/>
      <c r="M125" s="313"/>
      <c r="N125" s="275"/>
      <c r="O125" s="275"/>
      <c r="P125" s="275"/>
      <c r="Q125" s="276"/>
      <c r="R125" s="24"/>
      <c r="S125" s="24"/>
      <c r="T125" s="24"/>
      <c r="U125" s="24"/>
      <c r="V125" s="24"/>
      <c r="W125" s="24"/>
    </row>
    <row r="126" spans="1:23" ht="18" customHeight="1" x14ac:dyDescent="0.2">
      <c r="A126" s="313">
        <v>6</v>
      </c>
      <c r="B126" s="276"/>
      <c r="C126" s="394" t="s">
        <v>51</v>
      </c>
      <c r="D126" s="276"/>
      <c r="E126" s="57" t="str">
        <f t="shared" si="61"/>
        <v>2025-2026</v>
      </c>
      <c r="F126" s="313">
        <f t="shared" si="62"/>
        <v>0</v>
      </c>
      <c r="G126" s="276"/>
      <c r="H126" s="42"/>
      <c r="I126" s="42"/>
      <c r="J126" s="313"/>
      <c r="K126" s="275"/>
      <c r="L126" s="276"/>
      <c r="M126" s="313"/>
      <c r="N126" s="275"/>
      <c r="O126" s="275"/>
      <c r="P126" s="275"/>
      <c r="Q126" s="276"/>
      <c r="R126" s="24"/>
      <c r="S126" s="24"/>
      <c r="T126" s="24"/>
      <c r="U126" s="24"/>
      <c r="V126" s="24"/>
      <c r="W126" s="24"/>
    </row>
    <row r="127" spans="1:23" ht="18" customHeight="1" x14ac:dyDescent="0.2">
      <c r="A127" s="313">
        <v>7</v>
      </c>
      <c r="B127" s="276"/>
      <c r="C127" s="394" t="s">
        <v>54</v>
      </c>
      <c r="D127" s="276"/>
      <c r="E127" s="57" t="str">
        <f t="shared" si="61"/>
        <v>2025-2026</v>
      </c>
      <c r="F127" s="313">
        <f t="shared" si="62"/>
        <v>0</v>
      </c>
      <c r="G127" s="276"/>
      <c r="H127" s="42"/>
      <c r="I127" s="42"/>
      <c r="J127" s="313"/>
      <c r="K127" s="275"/>
      <c r="L127" s="276"/>
      <c r="M127" s="313"/>
      <c r="N127" s="275"/>
      <c r="O127" s="275"/>
      <c r="P127" s="275"/>
      <c r="Q127" s="276"/>
      <c r="R127" s="24"/>
      <c r="S127" s="24"/>
      <c r="T127" s="24"/>
      <c r="U127" s="24"/>
      <c r="V127" s="24"/>
      <c r="W127" s="24"/>
    </row>
    <row r="128" spans="1:23" ht="18" customHeight="1" x14ac:dyDescent="0.2">
      <c r="A128" s="313">
        <v>8</v>
      </c>
      <c r="B128" s="276"/>
      <c r="C128" s="394" t="s">
        <v>56</v>
      </c>
      <c r="D128" s="276"/>
      <c r="E128" s="57" t="str">
        <f t="shared" si="61"/>
        <v>2025-2026</v>
      </c>
      <c r="F128" s="313">
        <f t="shared" si="62"/>
        <v>0</v>
      </c>
      <c r="G128" s="276"/>
      <c r="H128" s="42"/>
      <c r="I128" s="42"/>
      <c r="J128" s="313"/>
      <c r="K128" s="275"/>
      <c r="L128" s="276"/>
      <c r="M128" s="313"/>
      <c r="N128" s="275"/>
      <c r="O128" s="275"/>
      <c r="P128" s="275"/>
      <c r="Q128" s="276"/>
      <c r="R128" s="24"/>
      <c r="S128" s="24"/>
      <c r="T128" s="24"/>
      <c r="U128" s="24"/>
      <c r="V128" s="24"/>
      <c r="W128" s="24"/>
    </row>
    <row r="129" spans="1:23" ht="18" customHeight="1" x14ac:dyDescent="0.2">
      <c r="A129" s="313">
        <v>9</v>
      </c>
      <c r="B129" s="276"/>
      <c r="C129" s="394" t="s">
        <v>58</v>
      </c>
      <c r="D129" s="276"/>
      <c r="E129" s="57" t="str">
        <f t="shared" si="61"/>
        <v>2025-2026</v>
      </c>
      <c r="F129" s="313">
        <f t="shared" si="62"/>
        <v>0</v>
      </c>
      <c r="G129" s="276"/>
      <c r="H129" s="42"/>
      <c r="I129" s="42"/>
      <c r="J129" s="313"/>
      <c r="K129" s="275"/>
      <c r="L129" s="276"/>
      <c r="M129" s="313"/>
      <c r="N129" s="275"/>
      <c r="O129" s="275"/>
      <c r="P129" s="275"/>
      <c r="Q129" s="276"/>
      <c r="R129" s="24"/>
      <c r="S129" s="24"/>
      <c r="T129" s="24"/>
      <c r="U129" s="24"/>
      <c r="V129" s="24"/>
      <c r="W129" s="24"/>
    </row>
    <row r="130" spans="1:23" ht="18" customHeight="1" x14ac:dyDescent="0.2">
      <c r="A130" s="313">
        <v>10</v>
      </c>
      <c r="B130" s="276"/>
      <c r="C130" s="394" t="s">
        <v>62</v>
      </c>
      <c r="D130" s="276"/>
      <c r="E130" s="57" t="str">
        <f t="shared" si="61"/>
        <v>2025-2026</v>
      </c>
      <c r="F130" s="313">
        <f>M60</f>
        <v>0</v>
      </c>
      <c r="G130" s="276"/>
      <c r="H130" s="42"/>
      <c r="I130" s="42"/>
      <c r="J130" s="313"/>
      <c r="K130" s="275"/>
      <c r="L130" s="276"/>
      <c r="M130" s="313"/>
      <c r="N130" s="275"/>
      <c r="O130" s="275"/>
      <c r="P130" s="275"/>
      <c r="Q130" s="276"/>
      <c r="R130" s="24"/>
      <c r="S130" s="24"/>
      <c r="T130" s="24"/>
      <c r="U130" s="24"/>
      <c r="V130" s="24"/>
      <c r="W130" s="24"/>
    </row>
    <row r="131" spans="1:23" ht="18" customHeight="1" x14ac:dyDescent="0.2">
      <c r="A131" s="313">
        <v>11</v>
      </c>
      <c r="B131" s="276"/>
      <c r="C131" s="394" t="s">
        <v>237</v>
      </c>
      <c r="D131" s="276"/>
      <c r="E131" s="57" t="str">
        <f t="shared" si="61"/>
        <v>2025-2026</v>
      </c>
      <c r="F131" s="313">
        <f>M59</f>
        <v>0</v>
      </c>
      <c r="G131" s="276"/>
      <c r="H131" s="42"/>
      <c r="I131" s="42"/>
      <c r="J131" s="313"/>
      <c r="K131" s="275"/>
      <c r="L131" s="276"/>
      <c r="M131" s="313"/>
      <c r="N131" s="275"/>
      <c r="O131" s="275"/>
      <c r="P131" s="275"/>
      <c r="Q131" s="276"/>
      <c r="R131" s="24"/>
      <c r="S131" s="24"/>
      <c r="T131" s="24"/>
      <c r="U131" s="24"/>
      <c r="V131" s="24"/>
      <c r="W131" s="24"/>
    </row>
    <row r="132" spans="1:23" ht="18" customHeight="1" x14ac:dyDescent="0.2">
      <c r="A132" s="313">
        <v>12</v>
      </c>
      <c r="B132" s="276"/>
      <c r="C132" s="394" t="s">
        <v>179</v>
      </c>
      <c r="D132" s="276"/>
      <c r="E132" s="57" t="str">
        <f t="shared" si="61"/>
        <v>2025-2026</v>
      </c>
      <c r="F132" s="313">
        <v>0</v>
      </c>
      <c r="G132" s="276"/>
      <c r="H132" s="42"/>
      <c r="I132" s="42"/>
      <c r="J132" s="313"/>
      <c r="K132" s="275"/>
      <c r="L132" s="276"/>
      <c r="M132" s="313"/>
      <c r="N132" s="275"/>
      <c r="O132" s="275"/>
      <c r="P132" s="275"/>
      <c r="Q132" s="276"/>
      <c r="R132" s="24"/>
      <c r="S132" s="24"/>
      <c r="T132" s="24"/>
      <c r="U132" s="24"/>
      <c r="V132" s="24"/>
      <c r="W132" s="24"/>
    </row>
    <row r="133" spans="1:23" ht="18" customHeight="1" x14ac:dyDescent="0.2">
      <c r="A133" s="313">
        <v>13</v>
      </c>
      <c r="B133" s="276"/>
      <c r="C133" s="394" t="s">
        <v>180</v>
      </c>
      <c r="D133" s="276"/>
      <c r="E133" s="57" t="str">
        <f t="shared" si="61"/>
        <v>2025-2026</v>
      </c>
      <c r="F133" s="313">
        <f>M65</f>
        <v>0</v>
      </c>
      <c r="G133" s="276"/>
      <c r="H133" s="42"/>
      <c r="I133" s="42"/>
      <c r="J133" s="313"/>
      <c r="K133" s="275"/>
      <c r="L133" s="276"/>
      <c r="M133" s="313"/>
      <c r="N133" s="275"/>
      <c r="O133" s="275"/>
      <c r="P133" s="275"/>
      <c r="Q133" s="276"/>
      <c r="R133" s="24"/>
      <c r="S133" s="24"/>
      <c r="T133" s="24"/>
      <c r="U133" s="24"/>
      <c r="V133" s="24"/>
      <c r="W133" s="24"/>
    </row>
    <row r="134" spans="1:23" ht="3.75" customHeight="1" x14ac:dyDescent="0.2">
      <c r="A134" s="371"/>
      <c r="B134" s="362"/>
      <c r="C134" s="371"/>
      <c r="D134" s="362"/>
      <c r="E134" s="63"/>
      <c r="F134" s="371"/>
      <c r="G134" s="362"/>
      <c r="H134" s="62"/>
      <c r="I134" s="62"/>
      <c r="J134" s="371"/>
      <c r="K134" s="362"/>
      <c r="L134" s="362"/>
      <c r="M134" s="371"/>
      <c r="N134" s="362"/>
      <c r="O134" s="362"/>
      <c r="P134" s="362"/>
      <c r="Q134" s="362"/>
      <c r="R134" s="24"/>
      <c r="S134" s="24"/>
      <c r="T134" s="24"/>
      <c r="U134" s="24"/>
      <c r="V134" s="24"/>
      <c r="W134" s="24"/>
    </row>
    <row r="135" spans="1:23" ht="12" customHeight="1" x14ac:dyDescent="0.2">
      <c r="A135" s="388" t="s">
        <v>182</v>
      </c>
      <c r="B135" s="362"/>
      <c r="C135" s="362"/>
      <c r="D135" s="362"/>
      <c r="E135" s="362"/>
      <c r="F135" s="362"/>
      <c r="G135" s="362"/>
      <c r="H135" s="362"/>
      <c r="I135" s="362"/>
      <c r="J135" s="362"/>
      <c r="K135" s="362"/>
      <c r="L135" s="362"/>
      <c r="M135" s="362"/>
      <c r="N135" s="362"/>
      <c r="O135" s="362"/>
      <c r="P135" s="362"/>
      <c r="Q135" s="362"/>
      <c r="R135" s="24"/>
      <c r="S135" s="24"/>
      <c r="T135" s="24"/>
      <c r="U135" s="24"/>
      <c r="V135" s="24"/>
      <c r="W135" s="24"/>
    </row>
    <row r="136" spans="1:23" ht="1.5" customHeight="1" x14ac:dyDescent="0.2">
      <c r="A136" s="371"/>
      <c r="B136" s="362"/>
      <c r="C136" s="371"/>
      <c r="D136" s="362"/>
      <c r="E136" s="63"/>
      <c r="F136" s="371"/>
      <c r="G136" s="362"/>
      <c r="H136" s="62"/>
      <c r="I136" s="62"/>
      <c r="J136" s="371"/>
      <c r="K136" s="362"/>
      <c r="L136" s="362"/>
      <c r="M136" s="371"/>
      <c r="N136" s="362"/>
      <c r="O136" s="362"/>
      <c r="P136" s="362"/>
      <c r="Q136" s="362"/>
      <c r="R136" s="24"/>
      <c r="S136" s="24"/>
      <c r="T136" s="24"/>
      <c r="U136" s="24"/>
      <c r="V136" s="24"/>
      <c r="W136" s="24"/>
    </row>
    <row r="137" spans="1:23" ht="18.75" customHeight="1" x14ac:dyDescent="0.2">
      <c r="A137" s="389" t="s">
        <v>183</v>
      </c>
      <c r="B137" s="362"/>
      <c r="C137" s="64" t="str">
        <f>DATA!E7</f>
        <v xml:space="preserve">SANJAYKUMAR </v>
      </c>
      <c r="D137" s="64" t="str">
        <f>DATA!K7</f>
        <v xml:space="preserve">NATVARBHAI </v>
      </c>
      <c r="E137" s="65" t="str">
        <f>DATA!P7</f>
        <v>DATTANI</v>
      </c>
      <c r="F137" s="66" t="s">
        <v>184</v>
      </c>
      <c r="G137" s="374" t="str">
        <f>DATA!O10</f>
        <v xml:space="preserve">PRINCIPAL </v>
      </c>
      <c r="H137" s="362"/>
      <c r="I137" s="362"/>
      <c r="J137" s="362"/>
      <c r="K137" s="362"/>
      <c r="L137" s="423" t="str">
        <f>DATA!E6</f>
        <v xml:space="preserve">KADJODARA </v>
      </c>
      <c r="M137" s="362"/>
      <c r="N137" s="362"/>
      <c r="O137" s="374" t="s">
        <v>185</v>
      </c>
      <c r="P137" s="362"/>
      <c r="Q137" s="362"/>
      <c r="R137" s="24"/>
      <c r="S137" s="24"/>
      <c r="T137" s="24"/>
      <c r="U137" s="24"/>
      <c r="V137" s="24"/>
      <c r="W137" s="24"/>
    </row>
    <row r="138" spans="1:23" ht="45.75" customHeight="1" x14ac:dyDescent="0.2">
      <c r="A138" s="396" t="s">
        <v>238</v>
      </c>
      <c r="B138" s="362"/>
      <c r="C138" s="362"/>
      <c r="D138" s="362"/>
      <c r="E138" s="362"/>
      <c r="F138" s="362"/>
      <c r="G138" s="362"/>
      <c r="H138" s="362"/>
      <c r="I138" s="362"/>
      <c r="J138" s="362"/>
      <c r="K138" s="362"/>
      <c r="L138" s="362"/>
      <c r="M138" s="362"/>
      <c r="N138" s="362"/>
      <c r="O138" s="362"/>
      <c r="P138" s="362"/>
      <c r="Q138" s="362"/>
      <c r="R138" s="24"/>
      <c r="S138" s="24"/>
      <c r="T138" s="24"/>
      <c r="U138" s="24"/>
      <c r="V138" s="24"/>
      <c r="W138" s="24"/>
    </row>
    <row r="139" spans="1:23" ht="18.75" customHeight="1" x14ac:dyDescent="0.2">
      <c r="A139" s="374" t="s">
        <v>239</v>
      </c>
      <c r="B139" s="362"/>
      <c r="C139" s="375" t="str">
        <f>DATA!E6</f>
        <v xml:space="preserve">KADJODARA </v>
      </c>
      <c r="D139" s="362"/>
      <c r="E139" s="362"/>
      <c r="F139" s="362"/>
      <c r="G139" s="66"/>
      <c r="H139" s="66"/>
      <c r="I139" s="66"/>
      <c r="J139" s="66"/>
      <c r="K139" s="66"/>
      <c r="L139" s="374" t="s">
        <v>161</v>
      </c>
      <c r="M139" s="362"/>
      <c r="N139" s="362"/>
      <c r="O139" s="362"/>
      <c r="P139" s="362"/>
      <c r="Q139" s="66"/>
      <c r="R139" s="24"/>
      <c r="S139" s="24"/>
      <c r="T139" s="24"/>
      <c r="U139" s="24"/>
      <c r="V139" s="24"/>
      <c r="W139" s="24"/>
    </row>
    <row r="140" spans="1:23" ht="16.5" customHeight="1" x14ac:dyDescent="0.2">
      <c r="A140" s="374" t="s">
        <v>158</v>
      </c>
      <c r="B140" s="362"/>
      <c r="C140" s="378">
        <f ca="1">TODAY()</f>
        <v>46000</v>
      </c>
      <c r="D140" s="362"/>
      <c r="E140" s="39"/>
      <c r="F140" s="66"/>
      <c r="G140" s="66"/>
      <c r="H140" s="66"/>
      <c r="I140" s="66"/>
      <c r="J140" s="66"/>
      <c r="K140" s="66"/>
      <c r="L140" s="374" t="s">
        <v>240</v>
      </c>
      <c r="M140" s="362"/>
      <c r="N140" s="375"/>
      <c r="O140" s="362"/>
      <c r="P140" s="362"/>
      <c r="Q140" s="362"/>
      <c r="R140" s="24"/>
      <c r="S140" s="24"/>
      <c r="T140" s="24"/>
      <c r="U140" s="24"/>
      <c r="V140" s="24"/>
      <c r="W140" s="24"/>
    </row>
  </sheetData>
  <mergeCells count="480">
    <mergeCell ref="A32:A35"/>
    <mergeCell ref="C95:C96"/>
    <mergeCell ref="K3:K5"/>
    <mergeCell ref="M4:M5"/>
    <mergeCell ref="N4:N5"/>
    <mergeCell ref="S3:S5"/>
    <mergeCell ref="O4:P5"/>
    <mergeCell ref="Q4:R5"/>
    <mergeCell ref="T3:U5"/>
    <mergeCell ref="F32:Q33"/>
    <mergeCell ref="B32:E35"/>
    <mergeCell ref="B3:J4"/>
    <mergeCell ref="A95:B96"/>
    <mergeCell ref="A91:Q91"/>
    <mergeCell ref="B92:E92"/>
    <mergeCell ref="M92:Q92"/>
    <mergeCell ref="B93:D93"/>
    <mergeCell ref="F93:K93"/>
    <mergeCell ref="M93:Q93"/>
    <mergeCell ref="A94:Q94"/>
    <mergeCell ref="D95:Q95"/>
    <mergeCell ref="F96:G96"/>
    <mergeCell ref="J96:K96"/>
    <mergeCell ref="L96:M96"/>
    <mergeCell ref="A137:B137"/>
    <mergeCell ref="G137:K137"/>
    <mergeCell ref="L137:N137"/>
    <mergeCell ref="O137:Q137"/>
    <mergeCell ref="A138:Q138"/>
    <mergeCell ref="A139:B139"/>
    <mergeCell ref="C139:F139"/>
    <mergeCell ref="L139:P139"/>
    <mergeCell ref="A140:B140"/>
    <mergeCell ref="C140:D140"/>
    <mergeCell ref="L140:M140"/>
    <mergeCell ref="N140:Q140"/>
    <mergeCell ref="A134:B134"/>
    <mergeCell ref="C134:D134"/>
    <mergeCell ref="F134:G134"/>
    <mergeCell ref="J134:L134"/>
    <mergeCell ref="M134:Q134"/>
    <mergeCell ref="A135:Q135"/>
    <mergeCell ref="A136:B136"/>
    <mergeCell ref="C136:D136"/>
    <mergeCell ref="F136:G136"/>
    <mergeCell ref="J136:L136"/>
    <mergeCell ref="M136:Q136"/>
    <mergeCell ref="A132:B132"/>
    <mergeCell ref="C132:D132"/>
    <mergeCell ref="F132:G132"/>
    <mergeCell ref="J132:L132"/>
    <mergeCell ref="M132:Q132"/>
    <mergeCell ref="A133:B133"/>
    <mergeCell ref="C133:D133"/>
    <mergeCell ref="F133:G133"/>
    <mergeCell ref="J133:L133"/>
    <mergeCell ref="M133:Q133"/>
    <mergeCell ref="A130:B130"/>
    <mergeCell ref="C130:D130"/>
    <mergeCell ref="F130:G130"/>
    <mergeCell ref="J130:L130"/>
    <mergeCell ref="M130:Q130"/>
    <mergeCell ref="A131:B131"/>
    <mergeCell ref="C131:D131"/>
    <mergeCell ref="F131:G131"/>
    <mergeCell ref="J131:L131"/>
    <mergeCell ref="M131:Q131"/>
    <mergeCell ref="A128:B128"/>
    <mergeCell ref="C128:D128"/>
    <mergeCell ref="F128:G128"/>
    <mergeCell ref="J128:L128"/>
    <mergeCell ref="M128:Q128"/>
    <mergeCell ref="A129:B129"/>
    <mergeCell ref="C129:D129"/>
    <mergeCell ref="F129:G129"/>
    <mergeCell ref="J129:L129"/>
    <mergeCell ref="M129:Q129"/>
    <mergeCell ref="A126:B126"/>
    <mergeCell ref="C126:D126"/>
    <mergeCell ref="F126:G126"/>
    <mergeCell ref="J126:L126"/>
    <mergeCell ref="M126:Q126"/>
    <mergeCell ref="A127:B127"/>
    <mergeCell ref="C127:D127"/>
    <mergeCell ref="F127:G127"/>
    <mergeCell ref="J127:L127"/>
    <mergeCell ref="M127:Q127"/>
    <mergeCell ref="A124:B124"/>
    <mergeCell ref="C124:D124"/>
    <mergeCell ref="F124:G124"/>
    <mergeCell ref="J124:L124"/>
    <mergeCell ref="M124:Q124"/>
    <mergeCell ref="A125:B125"/>
    <mergeCell ref="C125:D125"/>
    <mergeCell ref="F125:G125"/>
    <mergeCell ref="J125:L125"/>
    <mergeCell ref="M125:Q125"/>
    <mergeCell ref="A122:B122"/>
    <mergeCell ref="C122:D122"/>
    <mergeCell ref="F122:G122"/>
    <mergeCell ref="J122:L122"/>
    <mergeCell ref="M122:Q122"/>
    <mergeCell ref="A123:B123"/>
    <mergeCell ref="C123:D123"/>
    <mergeCell ref="F123:G123"/>
    <mergeCell ref="J123:L123"/>
    <mergeCell ref="M123:Q123"/>
    <mergeCell ref="A119:Q119"/>
    <mergeCell ref="A120:B120"/>
    <mergeCell ref="C120:D120"/>
    <mergeCell ref="F120:G120"/>
    <mergeCell ref="J120:L120"/>
    <mergeCell ref="M120:Q120"/>
    <mergeCell ref="A121:B121"/>
    <mergeCell ref="C121:D121"/>
    <mergeCell ref="F121:G121"/>
    <mergeCell ref="J121:L121"/>
    <mergeCell ref="M121:Q121"/>
    <mergeCell ref="A117:B117"/>
    <mergeCell ref="J117:K117"/>
    <mergeCell ref="L117:M117"/>
    <mergeCell ref="N117:O117"/>
    <mergeCell ref="P117:Q117"/>
    <mergeCell ref="A118:B118"/>
    <mergeCell ref="F118:G118"/>
    <mergeCell ref="J118:K118"/>
    <mergeCell ref="L118:M118"/>
    <mergeCell ref="N118:O118"/>
    <mergeCell ref="P118:Q118"/>
    <mergeCell ref="A115:B115"/>
    <mergeCell ref="F115:G115"/>
    <mergeCell ref="J115:K115"/>
    <mergeCell ref="L115:M115"/>
    <mergeCell ref="N115:O115"/>
    <mergeCell ref="P115:Q115"/>
    <mergeCell ref="A116:B116"/>
    <mergeCell ref="F116:G116"/>
    <mergeCell ref="J116:K116"/>
    <mergeCell ref="L116:M116"/>
    <mergeCell ref="N116:O116"/>
    <mergeCell ref="P116:Q116"/>
    <mergeCell ref="A113:B113"/>
    <mergeCell ref="F113:G113"/>
    <mergeCell ref="J113:K113"/>
    <mergeCell ref="L113:M113"/>
    <mergeCell ref="N113:O113"/>
    <mergeCell ref="P113:Q113"/>
    <mergeCell ref="A114:B114"/>
    <mergeCell ref="F114:G114"/>
    <mergeCell ref="J114:K114"/>
    <mergeCell ref="L114:M114"/>
    <mergeCell ref="N114:O114"/>
    <mergeCell ref="P114:Q114"/>
    <mergeCell ref="A111:B111"/>
    <mergeCell ref="F111:G111"/>
    <mergeCell ref="J111:K111"/>
    <mergeCell ref="L111:M111"/>
    <mergeCell ref="N111:O111"/>
    <mergeCell ref="P111:Q111"/>
    <mergeCell ref="A112:B112"/>
    <mergeCell ref="F112:G112"/>
    <mergeCell ref="J112:K112"/>
    <mergeCell ref="L112:M112"/>
    <mergeCell ref="N112:O112"/>
    <mergeCell ref="P112:Q112"/>
    <mergeCell ref="A109:B109"/>
    <mergeCell ref="F109:G109"/>
    <mergeCell ref="J109:K109"/>
    <mergeCell ref="L109:M109"/>
    <mergeCell ref="N109:O109"/>
    <mergeCell ref="P109:Q109"/>
    <mergeCell ref="A110:B110"/>
    <mergeCell ref="F110:G110"/>
    <mergeCell ref="J110:K110"/>
    <mergeCell ref="L110:M110"/>
    <mergeCell ref="N110:O110"/>
    <mergeCell ref="P110:Q110"/>
    <mergeCell ref="A107:B107"/>
    <mergeCell ref="F107:G107"/>
    <mergeCell ref="J107:K107"/>
    <mergeCell ref="L107:M107"/>
    <mergeCell ref="N107:O107"/>
    <mergeCell ref="P107:Q107"/>
    <mergeCell ref="A108:B108"/>
    <mergeCell ref="F108:G108"/>
    <mergeCell ref="J108:K108"/>
    <mergeCell ref="L108:M108"/>
    <mergeCell ref="N108:O108"/>
    <mergeCell ref="P108:Q108"/>
    <mergeCell ref="A105:B105"/>
    <mergeCell ref="F105:G105"/>
    <mergeCell ref="J105:K105"/>
    <mergeCell ref="L105:M105"/>
    <mergeCell ref="N105:O105"/>
    <mergeCell ref="P105:Q105"/>
    <mergeCell ref="A106:B106"/>
    <mergeCell ref="F106:G106"/>
    <mergeCell ref="J106:K106"/>
    <mergeCell ref="L106:M106"/>
    <mergeCell ref="N106:O106"/>
    <mergeCell ref="P106:Q106"/>
    <mergeCell ref="A103:B103"/>
    <mergeCell ref="F103:G103"/>
    <mergeCell ref="J103:K103"/>
    <mergeCell ref="L103:M103"/>
    <mergeCell ref="N103:O103"/>
    <mergeCell ref="P103:Q103"/>
    <mergeCell ref="A104:B104"/>
    <mergeCell ref="F104:G104"/>
    <mergeCell ref="J104:K104"/>
    <mergeCell ref="L104:M104"/>
    <mergeCell ref="N104:O104"/>
    <mergeCell ref="P104:Q104"/>
    <mergeCell ref="A101:B101"/>
    <mergeCell ref="F101:G101"/>
    <mergeCell ref="J101:K101"/>
    <mergeCell ref="L101:M101"/>
    <mergeCell ref="N101:O101"/>
    <mergeCell ref="P101:Q101"/>
    <mergeCell ref="A102:B102"/>
    <mergeCell ref="F102:G102"/>
    <mergeCell ref="J102:K102"/>
    <mergeCell ref="L102:M102"/>
    <mergeCell ref="N102:O102"/>
    <mergeCell ref="P102:Q102"/>
    <mergeCell ref="A99:B99"/>
    <mergeCell ref="F99:G99"/>
    <mergeCell ref="J99:K99"/>
    <mergeCell ref="L99:M99"/>
    <mergeCell ref="N99:O99"/>
    <mergeCell ref="P99:Q99"/>
    <mergeCell ref="A100:B100"/>
    <mergeCell ref="F100:G100"/>
    <mergeCell ref="J100:K100"/>
    <mergeCell ref="L100:M100"/>
    <mergeCell ref="N100:O100"/>
    <mergeCell ref="P100:Q100"/>
    <mergeCell ref="A97:B97"/>
    <mergeCell ref="F97:G97"/>
    <mergeCell ref="J97:K97"/>
    <mergeCell ref="L97:M97"/>
    <mergeCell ref="N97:O97"/>
    <mergeCell ref="P97:Q97"/>
    <mergeCell ref="A98:B98"/>
    <mergeCell ref="F98:G98"/>
    <mergeCell ref="J98:K98"/>
    <mergeCell ref="L98:M98"/>
    <mergeCell ref="N98:O98"/>
    <mergeCell ref="P98:Q98"/>
    <mergeCell ref="N96:O96"/>
    <mergeCell ref="P96:Q96"/>
    <mergeCell ref="M87:N87"/>
    <mergeCell ref="O87:Q87"/>
    <mergeCell ref="M88:N88"/>
    <mergeCell ref="O88:Q88"/>
    <mergeCell ref="M89:N89"/>
    <mergeCell ref="O89:Q89"/>
    <mergeCell ref="B90:L90"/>
    <mergeCell ref="M90:N90"/>
    <mergeCell ref="O90:Q90"/>
    <mergeCell ref="B83:L83"/>
    <mergeCell ref="M83:N83"/>
    <mergeCell ref="O83:Q83"/>
    <mergeCell ref="M84:N84"/>
    <mergeCell ref="O84:Q84"/>
    <mergeCell ref="F85:K85"/>
    <mergeCell ref="M85:N85"/>
    <mergeCell ref="O85:Q85"/>
    <mergeCell ref="M86:N86"/>
    <mergeCell ref="O86:Q86"/>
    <mergeCell ref="B79:L79"/>
    <mergeCell ref="M79:N79"/>
    <mergeCell ref="O79:Q79"/>
    <mergeCell ref="M80:N80"/>
    <mergeCell ref="O80:Q80"/>
    <mergeCell ref="B81:L81"/>
    <mergeCell ref="M81:N81"/>
    <mergeCell ref="O81:Q81"/>
    <mergeCell ref="M82:N82"/>
    <mergeCell ref="O82:Q82"/>
    <mergeCell ref="C75:L75"/>
    <mergeCell ref="M75:N75"/>
    <mergeCell ref="O75:Q75"/>
    <mergeCell ref="C76:L76"/>
    <mergeCell ref="M76:N76"/>
    <mergeCell ref="O76:Q76"/>
    <mergeCell ref="C77:L77"/>
    <mergeCell ref="M77:N77"/>
    <mergeCell ref="C78:L78"/>
    <mergeCell ref="M78:N78"/>
    <mergeCell ref="B72:L72"/>
    <mergeCell ref="M72:N72"/>
    <mergeCell ref="O72:Q72"/>
    <mergeCell ref="B73:L73"/>
    <mergeCell ref="M73:N73"/>
    <mergeCell ref="O73:Q73"/>
    <mergeCell ref="C74:L74"/>
    <mergeCell ref="M74:N74"/>
    <mergeCell ref="O74:Q74"/>
    <mergeCell ref="C68:L68"/>
    <mergeCell ref="M68:N68"/>
    <mergeCell ref="O68:Q68"/>
    <mergeCell ref="C69:L69"/>
    <mergeCell ref="M69:N69"/>
    <mergeCell ref="O69:Q69"/>
    <mergeCell ref="C70:L70"/>
    <mergeCell ref="M70:N70"/>
    <mergeCell ref="B71:L71"/>
    <mergeCell ref="M71:N71"/>
    <mergeCell ref="O71:Q71"/>
    <mergeCell ref="C65:L65"/>
    <mergeCell ref="M65:N65"/>
    <mergeCell ref="O65:Q65"/>
    <mergeCell ref="C66:L66"/>
    <mergeCell ref="M66:N66"/>
    <mergeCell ref="O66:Q66"/>
    <mergeCell ref="C67:L67"/>
    <mergeCell ref="M67:N67"/>
    <mergeCell ref="O67:Q67"/>
    <mergeCell ref="C62:L62"/>
    <mergeCell ref="M62:N62"/>
    <mergeCell ref="O62:Q62"/>
    <mergeCell ref="C63:L63"/>
    <mergeCell ref="M63:N63"/>
    <mergeCell ref="O63:Q63"/>
    <mergeCell ref="B64:L64"/>
    <mergeCell ref="M64:N64"/>
    <mergeCell ref="O64:Q64"/>
    <mergeCell ref="C59:L59"/>
    <mergeCell ref="M59:N59"/>
    <mergeCell ref="O59:Q59"/>
    <mergeCell ref="C60:L60"/>
    <mergeCell ref="M60:N60"/>
    <mergeCell ref="O60:Q60"/>
    <mergeCell ref="C61:L61"/>
    <mergeCell ref="M61:N61"/>
    <mergeCell ref="O61:Q61"/>
    <mergeCell ref="C56:L56"/>
    <mergeCell ref="M56:N56"/>
    <mergeCell ref="O56:Q56"/>
    <mergeCell ref="C57:L57"/>
    <mergeCell ref="M57:N57"/>
    <mergeCell ref="O57:Q57"/>
    <mergeCell ref="C58:L58"/>
    <mergeCell ref="M58:N58"/>
    <mergeCell ref="O58:Q58"/>
    <mergeCell ref="C53:L53"/>
    <mergeCell ref="M53:N53"/>
    <mergeCell ref="O53:Q53"/>
    <mergeCell ref="C54:L54"/>
    <mergeCell ref="M54:N54"/>
    <mergeCell ref="O54:Q54"/>
    <mergeCell ref="C55:L55"/>
    <mergeCell ref="M55:N55"/>
    <mergeCell ref="O55:Q55"/>
    <mergeCell ref="C50:L50"/>
    <mergeCell ref="M50:N50"/>
    <mergeCell ref="O50:Q50"/>
    <mergeCell ref="C51:L51"/>
    <mergeCell ref="M51:N51"/>
    <mergeCell ref="O51:Q51"/>
    <mergeCell ref="C52:L52"/>
    <mergeCell ref="M52:N52"/>
    <mergeCell ref="O52:Q52"/>
    <mergeCell ref="B47:L47"/>
    <mergeCell ref="M47:N47"/>
    <mergeCell ref="O47:Q47"/>
    <mergeCell ref="B48:L48"/>
    <mergeCell ref="M48:N48"/>
    <mergeCell ref="O48:Q48"/>
    <mergeCell ref="B49:L49"/>
    <mergeCell ref="M49:N49"/>
    <mergeCell ref="O49:Q49"/>
    <mergeCell ref="C43:L43"/>
    <mergeCell ref="M43:N43"/>
    <mergeCell ref="O43:Q43"/>
    <mergeCell ref="M44:N44"/>
    <mergeCell ref="O44:Q44"/>
    <mergeCell ref="M45:N45"/>
    <mergeCell ref="O45:Q45"/>
    <mergeCell ref="M46:N46"/>
    <mergeCell ref="O46:Q46"/>
    <mergeCell ref="B39:E39"/>
    <mergeCell ref="F39:J39"/>
    <mergeCell ref="B40:L40"/>
    <mergeCell ref="M40:Q40"/>
    <mergeCell ref="B41:L41"/>
    <mergeCell ref="M41:N41"/>
    <mergeCell ref="O41:Q41"/>
    <mergeCell ref="B42:L42"/>
    <mergeCell ref="M42:N42"/>
    <mergeCell ref="O42:Q42"/>
    <mergeCell ref="F35:K35"/>
    <mergeCell ref="L35:Q35"/>
    <mergeCell ref="B36:C36"/>
    <mergeCell ref="D36:E36"/>
    <mergeCell ref="F36:L36"/>
    <mergeCell ref="M36:Q36"/>
    <mergeCell ref="B37:E37"/>
    <mergeCell ref="F37:Q37"/>
    <mergeCell ref="B38:E38"/>
    <mergeCell ref="F38:Q38"/>
    <mergeCell ref="B30:E30"/>
    <mergeCell ref="F30:J30"/>
    <mergeCell ref="K30:M30"/>
    <mergeCell ref="N30:Q30"/>
    <mergeCell ref="B31:E31"/>
    <mergeCell ref="F31:J31"/>
    <mergeCell ref="K31:N31"/>
    <mergeCell ref="O31:Q31"/>
    <mergeCell ref="F34:K34"/>
    <mergeCell ref="L34:Q34"/>
    <mergeCell ref="A27:C27"/>
    <mergeCell ref="D27:E27"/>
    <mergeCell ref="A28:B28"/>
    <mergeCell ref="C28:E28"/>
    <mergeCell ref="F28:N28"/>
    <mergeCell ref="O28:Q28"/>
    <mergeCell ref="A29:B29"/>
    <mergeCell ref="C29:E29"/>
    <mergeCell ref="J29:M29"/>
    <mergeCell ref="N29:Q29"/>
    <mergeCell ref="A22:C22"/>
    <mergeCell ref="D22:E22"/>
    <mergeCell ref="A23:C23"/>
    <mergeCell ref="D23:E23"/>
    <mergeCell ref="A24:C24"/>
    <mergeCell ref="D24:E24"/>
    <mergeCell ref="A25:C25"/>
    <mergeCell ref="D25:E25"/>
    <mergeCell ref="A26:C26"/>
    <mergeCell ref="D26:E26"/>
    <mergeCell ref="O18:P18"/>
    <mergeCell ref="Q18:R18"/>
    <mergeCell ref="T18:U18"/>
    <mergeCell ref="A19:C19"/>
    <mergeCell ref="D19:E19"/>
    <mergeCell ref="A20:C20"/>
    <mergeCell ref="D20:E20"/>
    <mergeCell ref="A21:C21"/>
    <mergeCell ref="D21:E21"/>
    <mergeCell ref="O15:P15"/>
    <mergeCell ref="Q15:R15"/>
    <mergeCell ref="T15:U15"/>
    <mergeCell ref="O16:P16"/>
    <mergeCell ref="Q16:R16"/>
    <mergeCell ref="T16:U16"/>
    <mergeCell ref="O17:P17"/>
    <mergeCell ref="Q17:R17"/>
    <mergeCell ref="T17:U17"/>
    <mergeCell ref="O12:P12"/>
    <mergeCell ref="Q12:R12"/>
    <mergeCell ref="T12:U12"/>
    <mergeCell ref="O13:P13"/>
    <mergeCell ref="Q13:R13"/>
    <mergeCell ref="T13:U13"/>
    <mergeCell ref="O14:P14"/>
    <mergeCell ref="Q14:R14"/>
    <mergeCell ref="T14:U14"/>
    <mergeCell ref="O9:P9"/>
    <mergeCell ref="Q9:R9"/>
    <mergeCell ref="T9:U9"/>
    <mergeCell ref="O10:P10"/>
    <mergeCell ref="Q10:R10"/>
    <mergeCell ref="T10:U10"/>
    <mergeCell ref="O11:P11"/>
    <mergeCell ref="Q11:R11"/>
    <mergeCell ref="T11:U11"/>
    <mergeCell ref="A1:U1"/>
    <mergeCell ref="L3:R3"/>
    <mergeCell ref="O6:P6"/>
    <mergeCell ref="Q6:R6"/>
    <mergeCell ref="T6:U6"/>
    <mergeCell ref="O7:P7"/>
    <mergeCell ref="Q7:R7"/>
    <mergeCell ref="T7:U7"/>
    <mergeCell ref="O8:P8"/>
    <mergeCell ref="Q8:R8"/>
    <mergeCell ref="T8:U8"/>
    <mergeCell ref="A3:A5"/>
  </mergeCells>
  <dataValidations count="1">
    <dataValidation type="list" allowBlank="1" showErrorMessage="1" sqref="F39" xr:uid="{00000000-0002-0000-0400-000000000000}">
      <formula1>"MALE,FEMALE"</formula1>
    </dataValidation>
  </dataValidations>
  <printOptions horizontalCentered="1"/>
  <pageMargins left="0.23622047244094499" right="0.23622047244094499" top="0.74803149606299202" bottom="0.74803149606299202" header="0" footer="0"/>
  <pageSetup paperSize="9" scale="71" orientation="portrait" r:id="rId1"/>
  <rowBreaks count="2" manualBreakCount="2">
    <brk id="27" max="16383" man="1"/>
    <brk id="93" max="16"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W139"/>
  <sheetViews>
    <sheetView workbookViewId="0">
      <selection activeCell="C28" sqref="C28:J28"/>
    </sheetView>
  </sheetViews>
  <sheetFormatPr defaultColWidth="14.3515625" defaultRowHeight="15" customHeight="1" x14ac:dyDescent="0.2"/>
  <cols>
    <col min="1" max="1" width="11.5390625" customWidth="1"/>
    <col min="2" max="2" width="14.203125" customWidth="1"/>
    <col min="3" max="3" width="9.9140625" customWidth="1"/>
    <col min="4" max="4" width="10.65234375" customWidth="1"/>
    <col min="5" max="5" width="9.0234375" customWidth="1"/>
    <col min="6" max="6" width="5.91796875" customWidth="1"/>
    <col min="7" max="7" width="3.84375" customWidth="1"/>
    <col min="8" max="8" width="5.47265625" customWidth="1"/>
    <col min="9" max="9" width="6.06640625" customWidth="1"/>
    <col min="10" max="10" width="6.359375" customWidth="1"/>
    <col min="11" max="11" width="8.28515625" customWidth="1"/>
    <col min="12" max="12" width="6.65625" customWidth="1"/>
    <col min="13" max="13" width="5.62109375" customWidth="1"/>
    <col min="14" max="14" width="5.17578125" customWidth="1"/>
    <col min="15" max="15" width="3.9921875" customWidth="1"/>
    <col min="16" max="16" width="3.55078125" customWidth="1"/>
    <col min="17" max="17" width="4.734375" customWidth="1"/>
    <col min="18" max="18" width="4.140625" customWidth="1"/>
    <col min="19" max="21" width="9.171875" customWidth="1"/>
    <col min="22" max="23" width="10.20703125" hidden="1" customWidth="1"/>
  </cols>
  <sheetData>
    <row r="1" spans="1:23" ht="28.5" customHeight="1" x14ac:dyDescent="0.2">
      <c r="A1" s="437" t="s">
        <v>200</v>
      </c>
      <c r="B1" s="362"/>
      <c r="C1" s="362"/>
      <c r="D1" s="362"/>
      <c r="E1" s="362"/>
      <c r="F1" s="362"/>
      <c r="G1" s="362"/>
      <c r="H1" s="362"/>
      <c r="I1" s="362"/>
      <c r="J1" s="362"/>
      <c r="K1" s="362"/>
      <c r="L1" s="362"/>
      <c r="M1" s="362"/>
      <c r="N1" s="362"/>
      <c r="O1" s="362"/>
      <c r="P1" s="362"/>
      <c r="Q1" s="362"/>
      <c r="R1" s="362"/>
      <c r="S1" s="362"/>
      <c r="T1" s="362"/>
      <c r="U1" s="362"/>
      <c r="V1" s="24"/>
      <c r="W1" s="24"/>
    </row>
    <row r="2" spans="1:23" ht="12.75" customHeight="1" x14ac:dyDescent="0.2">
      <c r="A2" s="1"/>
      <c r="B2" s="2"/>
      <c r="C2" s="2"/>
      <c r="D2" s="2"/>
      <c r="E2" s="2"/>
      <c r="F2" s="2"/>
      <c r="G2" s="2"/>
      <c r="H2" s="2"/>
      <c r="I2" s="2"/>
      <c r="J2" s="2"/>
      <c r="K2" s="2"/>
      <c r="L2" s="2"/>
      <c r="M2" s="2"/>
      <c r="N2" s="2"/>
      <c r="O2" s="2"/>
      <c r="P2" s="2"/>
      <c r="Q2" s="2"/>
      <c r="R2" s="2"/>
      <c r="S2" s="2"/>
      <c r="T2" s="2"/>
      <c r="U2" s="2"/>
      <c r="V2" s="24"/>
      <c r="W2" s="24"/>
    </row>
    <row r="3" spans="1:23" ht="13.5" customHeight="1" x14ac:dyDescent="0.2">
      <c r="A3" s="284" t="s">
        <v>31</v>
      </c>
      <c r="B3" s="285" t="s">
        <v>70</v>
      </c>
      <c r="C3" s="293"/>
      <c r="D3" s="293"/>
      <c r="E3" s="293"/>
      <c r="F3" s="293"/>
      <c r="G3" s="293"/>
      <c r="H3" s="293"/>
      <c r="I3" s="293"/>
      <c r="J3" s="291"/>
      <c r="K3" s="281" t="s">
        <v>71</v>
      </c>
      <c r="L3" s="274" t="s">
        <v>96</v>
      </c>
      <c r="M3" s="275"/>
      <c r="N3" s="275"/>
      <c r="O3" s="275"/>
      <c r="P3" s="275"/>
      <c r="Q3" s="275"/>
      <c r="R3" s="276"/>
      <c r="S3" s="281" t="s">
        <v>77</v>
      </c>
      <c r="T3" s="440" t="s">
        <v>73</v>
      </c>
      <c r="U3" s="387"/>
      <c r="V3" s="24"/>
      <c r="W3" s="24"/>
    </row>
    <row r="4" spans="1:23" ht="14.25" customHeight="1" x14ac:dyDescent="0.2">
      <c r="A4" s="282"/>
      <c r="B4" s="286"/>
      <c r="C4" s="294"/>
      <c r="D4" s="294"/>
      <c r="E4" s="294"/>
      <c r="F4" s="294"/>
      <c r="G4" s="294"/>
      <c r="H4" s="294"/>
      <c r="I4" s="294"/>
      <c r="J4" s="292"/>
      <c r="K4" s="282"/>
      <c r="L4" s="22"/>
      <c r="M4" s="451" t="s">
        <v>48</v>
      </c>
      <c r="N4" s="451" t="s">
        <v>74</v>
      </c>
      <c r="O4" s="452" t="s">
        <v>97</v>
      </c>
      <c r="P4" s="291"/>
      <c r="Q4" s="452" t="s">
        <v>76</v>
      </c>
      <c r="R4" s="291"/>
      <c r="S4" s="282"/>
      <c r="T4" s="441"/>
      <c r="U4" s="387"/>
      <c r="V4" s="24"/>
      <c r="W4" s="24"/>
    </row>
    <row r="5" spans="1:23" ht="69" customHeight="1" x14ac:dyDescent="0.2">
      <c r="A5" s="283"/>
      <c r="B5" s="3" t="s">
        <v>35</v>
      </c>
      <c r="C5" s="3" t="s">
        <v>80</v>
      </c>
      <c r="D5" s="3" t="s">
        <v>40</v>
      </c>
      <c r="E5" s="3" t="s">
        <v>47</v>
      </c>
      <c r="F5" s="3" t="s">
        <v>81</v>
      </c>
      <c r="G5" s="4" t="s">
        <v>82</v>
      </c>
      <c r="H5" s="3" t="s">
        <v>99</v>
      </c>
      <c r="I5" s="3" t="s">
        <v>57</v>
      </c>
      <c r="J5" s="3" t="s">
        <v>83</v>
      </c>
      <c r="K5" s="283"/>
      <c r="L5" s="23" t="s">
        <v>100</v>
      </c>
      <c r="M5" s="283"/>
      <c r="N5" s="283"/>
      <c r="O5" s="286"/>
      <c r="P5" s="292"/>
      <c r="Q5" s="286"/>
      <c r="R5" s="292"/>
      <c r="S5" s="283"/>
      <c r="T5" s="286"/>
      <c r="U5" s="292"/>
      <c r="V5" s="24"/>
      <c r="W5" s="24"/>
    </row>
    <row r="6" spans="1:23" ht="30.75" customHeight="1" x14ac:dyDescent="0.2">
      <c r="A6" s="5" t="s">
        <v>84</v>
      </c>
      <c r="B6" s="6">
        <v>0</v>
      </c>
      <c r="C6" s="6">
        <v>0</v>
      </c>
      <c r="D6" s="6">
        <v>62200</v>
      </c>
      <c r="E6" s="6">
        <f t="shared" ref="E6:E9" si="0">ROUND(D6*46/100,0)</f>
        <v>28612</v>
      </c>
      <c r="F6" s="6">
        <v>1000</v>
      </c>
      <c r="G6" s="6">
        <v>0</v>
      </c>
      <c r="H6" s="6">
        <v>300</v>
      </c>
      <c r="I6" s="6">
        <v>75</v>
      </c>
      <c r="J6" s="6">
        <f t="shared" ref="J6:J17" si="1">ROUND((D6)*8/100,0)</f>
        <v>4976</v>
      </c>
      <c r="K6" s="8">
        <f t="shared" ref="K6:K17" si="2">SUM(D6:J6)</f>
        <v>97163</v>
      </c>
      <c r="L6" s="8">
        <v>20000</v>
      </c>
      <c r="M6" s="6">
        <v>800</v>
      </c>
      <c r="N6" s="6">
        <v>200</v>
      </c>
      <c r="O6" s="438">
        <v>0</v>
      </c>
      <c r="P6" s="276"/>
      <c r="Q6" s="439">
        <v>6000</v>
      </c>
      <c r="R6" s="276"/>
      <c r="S6" s="8">
        <f t="shared" ref="S6:S17" si="3">L6+M6+N6+O6+Q6</f>
        <v>27000</v>
      </c>
      <c r="T6" s="277">
        <f t="shared" ref="T6:T17" si="4">K6-S6</f>
        <v>70163</v>
      </c>
      <c r="U6" s="276"/>
      <c r="V6" s="24"/>
      <c r="W6" s="24"/>
    </row>
    <row r="7" spans="1:23" ht="30.75" customHeight="1" x14ac:dyDescent="0.2">
      <c r="A7" s="5" t="s">
        <v>85</v>
      </c>
      <c r="B7" s="6">
        <f t="shared" ref="B7:D7" si="5">B6</f>
        <v>0</v>
      </c>
      <c r="C7" s="6">
        <f t="shared" si="5"/>
        <v>0</v>
      </c>
      <c r="D7" s="6">
        <f t="shared" si="5"/>
        <v>62200</v>
      </c>
      <c r="E7" s="6">
        <f t="shared" si="0"/>
        <v>28612</v>
      </c>
      <c r="F7" s="6">
        <f t="shared" ref="F7:F17" si="6">F6</f>
        <v>1000</v>
      </c>
      <c r="G7" s="6">
        <v>0</v>
      </c>
      <c r="H7" s="6">
        <f t="shared" ref="H7:I7" si="7">H6</f>
        <v>300</v>
      </c>
      <c r="I7" s="6">
        <f t="shared" si="7"/>
        <v>75</v>
      </c>
      <c r="J7" s="6">
        <f t="shared" si="1"/>
        <v>4976</v>
      </c>
      <c r="K7" s="8">
        <f t="shared" si="2"/>
        <v>97163</v>
      </c>
      <c r="L7" s="8">
        <f t="shared" ref="L7:N7" si="8">L6</f>
        <v>20000</v>
      </c>
      <c r="M7" s="6">
        <f t="shared" si="8"/>
        <v>800</v>
      </c>
      <c r="N7" s="6">
        <f t="shared" si="8"/>
        <v>200</v>
      </c>
      <c r="O7" s="438">
        <v>0</v>
      </c>
      <c r="P7" s="276"/>
      <c r="Q7" s="439">
        <f t="shared" ref="Q7:Q14" si="9">Q6</f>
        <v>6000</v>
      </c>
      <c r="R7" s="276"/>
      <c r="S7" s="8">
        <f t="shared" si="3"/>
        <v>27000</v>
      </c>
      <c r="T7" s="277">
        <f t="shared" si="4"/>
        <v>70163</v>
      </c>
      <c r="U7" s="276"/>
      <c r="V7" s="24"/>
      <c r="W7" s="24"/>
    </row>
    <row r="8" spans="1:23" ht="30.75" customHeight="1" x14ac:dyDescent="0.2">
      <c r="A8" s="5" t="s">
        <v>86</v>
      </c>
      <c r="B8" s="6">
        <f t="shared" ref="B8:D8" si="10">B7</f>
        <v>0</v>
      </c>
      <c r="C8" s="6">
        <f t="shared" si="10"/>
        <v>0</v>
      </c>
      <c r="D8" s="6">
        <f t="shared" si="10"/>
        <v>62200</v>
      </c>
      <c r="E8" s="6">
        <f t="shared" si="0"/>
        <v>28612</v>
      </c>
      <c r="F8" s="6">
        <f t="shared" si="6"/>
        <v>1000</v>
      </c>
      <c r="G8" s="6">
        <v>0</v>
      </c>
      <c r="H8" s="6">
        <f t="shared" ref="H8:I8" si="11">H7</f>
        <v>300</v>
      </c>
      <c r="I8" s="6">
        <f t="shared" si="11"/>
        <v>75</v>
      </c>
      <c r="J8" s="6">
        <f t="shared" si="1"/>
        <v>4976</v>
      </c>
      <c r="K8" s="8">
        <f t="shared" si="2"/>
        <v>97163</v>
      </c>
      <c r="L8" s="8">
        <f t="shared" ref="L8:N8" si="12">L7</f>
        <v>20000</v>
      </c>
      <c r="M8" s="6">
        <f t="shared" si="12"/>
        <v>800</v>
      </c>
      <c r="N8" s="6">
        <f t="shared" si="12"/>
        <v>200</v>
      </c>
      <c r="O8" s="438">
        <v>0</v>
      </c>
      <c r="P8" s="276"/>
      <c r="Q8" s="439">
        <f t="shared" si="9"/>
        <v>6000</v>
      </c>
      <c r="R8" s="276"/>
      <c r="S8" s="8">
        <f t="shared" si="3"/>
        <v>27000</v>
      </c>
      <c r="T8" s="277">
        <f t="shared" si="4"/>
        <v>70163</v>
      </c>
      <c r="U8" s="276"/>
      <c r="V8" s="24"/>
      <c r="W8" s="35"/>
    </row>
    <row r="9" spans="1:23" ht="30.75" customHeight="1" x14ac:dyDescent="0.2">
      <c r="A9" s="5" t="s">
        <v>87</v>
      </c>
      <c r="B9" s="6">
        <f t="shared" ref="B9:D9" si="13">B8</f>
        <v>0</v>
      </c>
      <c r="C9" s="6">
        <f t="shared" si="13"/>
        <v>0</v>
      </c>
      <c r="D9" s="6">
        <f t="shared" si="13"/>
        <v>62200</v>
      </c>
      <c r="E9" s="6">
        <f t="shared" si="0"/>
        <v>28612</v>
      </c>
      <c r="F9" s="6">
        <f t="shared" si="6"/>
        <v>1000</v>
      </c>
      <c r="G9" s="6">
        <v>0</v>
      </c>
      <c r="H9" s="6">
        <f t="shared" ref="H9:I9" si="14">H8</f>
        <v>300</v>
      </c>
      <c r="I9" s="6">
        <f t="shared" si="14"/>
        <v>75</v>
      </c>
      <c r="J9" s="6">
        <f t="shared" si="1"/>
        <v>4976</v>
      </c>
      <c r="K9" s="8">
        <f t="shared" si="2"/>
        <v>97163</v>
      </c>
      <c r="L9" s="8">
        <f t="shared" ref="L9:N9" si="15">L8</f>
        <v>20000</v>
      </c>
      <c r="M9" s="6">
        <f t="shared" si="15"/>
        <v>800</v>
      </c>
      <c r="N9" s="6">
        <f t="shared" si="15"/>
        <v>200</v>
      </c>
      <c r="O9" s="438">
        <v>0</v>
      </c>
      <c r="P9" s="276"/>
      <c r="Q9" s="439">
        <f t="shared" si="9"/>
        <v>6000</v>
      </c>
      <c r="R9" s="276"/>
      <c r="S9" s="8">
        <f t="shared" si="3"/>
        <v>27000</v>
      </c>
      <c r="T9" s="277">
        <f t="shared" si="4"/>
        <v>70163</v>
      </c>
      <c r="U9" s="276"/>
      <c r="V9" s="24"/>
      <c r="W9" s="24"/>
    </row>
    <row r="10" spans="1:23" ht="30.75" customHeight="1" x14ac:dyDescent="0.2">
      <c r="A10" s="5" t="s">
        <v>88</v>
      </c>
      <c r="B10" s="6">
        <f>W10</f>
        <v>0</v>
      </c>
      <c r="C10" s="6">
        <f>C9</f>
        <v>0</v>
      </c>
      <c r="D10" s="6">
        <f>ROUND(D9*3/100,-2)+D9</f>
        <v>64100</v>
      </c>
      <c r="E10" s="6">
        <f t="shared" ref="E10:E17" si="16">ROUND(D10*50/100,0)</f>
        <v>32050</v>
      </c>
      <c r="F10" s="6">
        <f t="shared" si="6"/>
        <v>1000</v>
      </c>
      <c r="G10" s="6">
        <v>0</v>
      </c>
      <c r="H10" s="6">
        <f t="shared" ref="H10:I10" si="17">H9</f>
        <v>300</v>
      </c>
      <c r="I10" s="6">
        <f t="shared" si="17"/>
        <v>75</v>
      </c>
      <c r="J10" s="6">
        <f t="shared" si="1"/>
        <v>5128</v>
      </c>
      <c r="K10" s="8">
        <f t="shared" si="2"/>
        <v>102653</v>
      </c>
      <c r="L10" s="8">
        <f t="shared" ref="L10:N10" si="18">L9</f>
        <v>20000</v>
      </c>
      <c r="M10" s="6">
        <f t="shared" si="18"/>
        <v>800</v>
      </c>
      <c r="N10" s="6">
        <f t="shared" si="18"/>
        <v>200</v>
      </c>
      <c r="O10" s="438">
        <v>0</v>
      </c>
      <c r="P10" s="276"/>
      <c r="Q10" s="439">
        <f t="shared" si="9"/>
        <v>6000</v>
      </c>
      <c r="R10" s="276"/>
      <c r="S10" s="8">
        <f t="shared" si="3"/>
        <v>27000</v>
      </c>
      <c r="T10" s="277">
        <f t="shared" si="4"/>
        <v>75653</v>
      </c>
      <c r="U10" s="276"/>
      <c r="V10" s="24"/>
      <c r="W10" s="24">
        <f>ROUNDUP((B9+C9)*3/100,0-1)+B9</f>
        <v>0</v>
      </c>
    </row>
    <row r="11" spans="1:23" ht="30.75" customHeight="1" x14ac:dyDescent="0.2">
      <c r="A11" s="5" t="s">
        <v>89</v>
      </c>
      <c r="B11" s="6">
        <f t="shared" ref="B11:D11" si="19">B10</f>
        <v>0</v>
      </c>
      <c r="C11" s="6">
        <f t="shared" si="19"/>
        <v>0</v>
      </c>
      <c r="D11" s="6">
        <f t="shared" si="19"/>
        <v>64100</v>
      </c>
      <c r="E11" s="6">
        <f t="shared" si="16"/>
        <v>32050</v>
      </c>
      <c r="F11" s="6">
        <f t="shared" si="6"/>
        <v>1000</v>
      </c>
      <c r="G11" s="6">
        <f t="shared" ref="G11:I11" si="20">G10</f>
        <v>0</v>
      </c>
      <c r="H11" s="6">
        <f t="shared" si="20"/>
        <v>300</v>
      </c>
      <c r="I11" s="6">
        <f t="shared" si="20"/>
        <v>75</v>
      </c>
      <c r="J11" s="6">
        <f t="shared" si="1"/>
        <v>5128</v>
      </c>
      <c r="K11" s="8">
        <f t="shared" si="2"/>
        <v>102653</v>
      </c>
      <c r="L11" s="8">
        <f t="shared" ref="L11:N11" si="21">L10</f>
        <v>20000</v>
      </c>
      <c r="M11" s="6">
        <f t="shared" si="21"/>
        <v>800</v>
      </c>
      <c r="N11" s="6">
        <f t="shared" si="21"/>
        <v>200</v>
      </c>
      <c r="O11" s="438">
        <v>0</v>
      </c>
      <c r="P11" s="276"/>
      <c r="Q11" s="439">
        <f t="shared" si="9"/>
        <v>6000</v>
      </c>
      <c r="R11" s="276"/>
      <c r="S11" s="8">
        <f t="shared" si="3"/>
        <v>27000</v>
      </c>
      <c r="T11" s="277">
        <f t="shared" si="4"/>
        <v>75653</v>
      </c>
      <c r="U11" s="276"/>
      <c r="V11" s="24"/>
      <c r="W11" s="24"/>
    </row>
    <row r="12" spans="1:23" ht="30.75" customHeight="1" x14ac:dyDescent="0.2">
      <c r="A12" s="5" t="s">
        <v>201</v>
      </c>
      <c r="B12" s="6">
        <f t="shared" ref="B12:D12" si="22">B11</f>
        <v>0</v>
      </c>
      <c r="C12" s="6">
        <f t="shared" si="22"/>
        <v>0</v>
      </c>
      <c r="D12" s="6">
        <f t="shared" si="22"/>
        <v>64100</v>
      </c>
      <c r="E12" s="6">
        <f t="shared" si="16"/>
        <v>32050</v>
      </c>
      <c r="F12" s="6">
        <f t="shared" si="6"/>
        <v>1000</v>
      </c>
      <c r="G12" s="6">
        <f t="shared" ref="G12:I12" si="23">G11</f>
        <v>0</v>
      </c>
      <c r="H12" s="6">
        <f t="shared" si="23"/>
        <v>300</v>
      </c>
      <c r="I12" s="6">
        <f t="shared" si="23"/>
        <v>75</v>
      </c>
      <c r="J12" s="6">
        <f t="shared" si="1"/>
        <v>5128</v>
      </c>
      <c r="K12" s="8">
        <f t="shared" si="2"/>
        <v>102653</v>
      </c>
      <c r="L12" s="8">
        <f t="shared" ref="L12:N12" si="24">L11</f>
        <v>20000</v>
      </c>
      <c r="M12" s="6">
        <f t="shared" si="24"/>
        <v>800</v>
      </c>
      <c r="N12" s="6">
        <f t="shared" si="24"/>
        <v>200</v>
      </c>
      <c r="O12" s="438">
        <v>0</v>
      </c>
      <c r="P12" s="276"/>
      <c r="Q12" s="439">
        <f t="shared" si="9"/>
        <v>6000</v>
      </c>
      <c r="R12" s="276"/>
      <c r="S12" s="8">
        <f t="shared" si="3"/>
        <v>27000</v>
      </c>
      <c r="T12" s="277">
        <f t="shared" si="4"/>
        <v>75653</v>
      </c>
      <c r="U12" s="276"/>
      <c r="V12" s="24"/>
      <c r="W12" s="24"/>
    </row>
    <row r="13" spans="1:23" ht="30.75" customHeight="1" x14ac:dyDescent="0.2">
      <c r="A13" s="5" t="s">
        <v>202</v>
      </c>
      <c r="B13" s="6">
        <f t="shared" ref="B13:D13" si="25">B12</f>
        <v>0</v>
      </c>
      <c r="C13" s="6">
        <f t="shared" si="25"/>
        <v>0</v>
      </c>
      <c r="D13" s="6">
        <f t="shared" si="25"/>
        <v>64100</v>
      </c>
      <c r="E13" s="6">
        <f t="shared" si="16"/>
        <v>32050</v>
      </c>
      <c r="F13" s="6">
        <f t="shared" si="6"/>
        <v>1000</v>
      </c>
      <c r="G13" s="6">
        <f t="shared" ref="G13:I13" si="26">G12</f>
        <v>0</v>
      </c>
      <c r="H13" s="6">
        <f t="shared" si="26"/>
        <v>300</v>
      </c>
      <c r="I13" s="6">
        <f t="shared" si="26"/>
        <v>75</v>
      </c>
      <c r="J13" s="6">
        <f t="shared" si="1"/>
        <v>5128</v>
      </c>
      <c r="K13" s="8">
        <f t="shared" si="2"/>
        <v>102653</v>
      </c>
      <c r="L13" s="8">
        <f t="shared" ref="L13:N13" si="27">L12</f>
        <v>20000</v>
      </c>
      <c r="M13" s="6">
        <f t="shared" si="27"/>
        <v>800</v>
      </c>
      <c r="N13" s="6">
        <f t="shared" si="27"/>
        <v>200</v>
      </c>
      <c r="O13" s="438">
        <v>0</v>
      </c>
      <c r="P13" s="276"/>
      <c r="Q13" s="439">
        <f t="shared" si="9"/>
        <v>6000</v>
      </c>
      <c r="R13" s="276"/>
      <c r="S13" s="8">
        <f t="shared" si="3"/>
        <v>27000</v>
      </c>
      <c r="T13" s="277">
        <f t="shared" si="4"/>
        <v>75653</v>
      </c>
      <c r="U13" s="276"/>
      <c r="V13" s="24"/>
      <c r="W13" s="24"/>
    </row>
    <row r="14" spans="1:23" ht="30.75" customHeight="1" x14ac:dyDescent="0.2">
      <c r="A14" s="5" t="s">
        <v>203</v>
      </c>
      <c r="B14" s="6">
        <f t="shared" ref="B14:D14" si="28">B13</f>
        <v>0</v>
      </c>
      <c r="C14" s="6">
        <f t="shared" si="28"/>
        <v>0</v>
      </c>
      <c r="D14" s="6">
        <f t="shared" si="28"/>
        <v>64100</v>
      </c>
      <c r="E14" s="6">
        <f t="shared" si="16"/>
        <v>32050</v>
      </c>
      <c r="F14" s="6">
        <f t="shared" si="6"/>
        <v>1000</v>
      </c>
      <c r="G14" s="6">
        <f t="shared" ref="G14:I14" si="29">G13</f>
        <v>0</v>
      </c>
      <c r="H14" s="6">
        <f t="shared" si="29"/>
        <v>300</v>
      </c>
      <c r="I14" s="6">
        <f t="shared" si="29"/>
        <v>75</v>
      </c>
      <c r="J14" s="6">
        <f t="shared" si="1"/>
        <v>5128</v>
      </c>
      <c r="K14" s="8">
        <f t="shared" si="2"/>
        <v>102653</v>
      </c>
      <c r="L14" s="8">
        <f t="shared" ref="L14:N14" si="30">L13</f>
        <v>20000</v>
      </c>
      <c r="M14" s="6">
        <f t="shared" si="30"/>
        <v>800</v>
      </c>
      <c r="N14" s="6">
        <f t="shared" si="30"/>
        <v>200</v>
      </c>
      <c r="O14" s="438">
        <v>0</v>
      </c>
      <c r="P14" s="276"/>
      <c r="Q14" s="439">
        <f t="shared" si="9"/>
        <v>6000</v>
      </c>
      <c r="R14" s="276"/>
      <c r="S14" s="8">
        <f t="shared" si="3"/>
        <v>27000</v>
      </c>
      <c r="T14" s="277">
        <f t="shared" si="4"/>
        <v>75653</v>
      </c>
      <c r="U14" s="276"/>
      <c r="V14" s="24"/>
      <c r="W14" s="24"/>
    </row>
    <row r="15" spans="1:23" ht="30.75" customHeight="1" x14ac:dyDescent="0.2">
      <c r="A15" s="5" t="s">
        <v>204</v>
      </c>
      <c r="B15" s="6">
        <f t="shared" ref="B15:D15" si="31">B14</f>
        <v>0</v>
      </c>
      <c r="C15" s="6">
        <f t="shared" si="31"/>
        <v>0</v>
      </c>
      <c r="D15" s="6">
        <f t="shared" si="31"/>
        <v>64100</v>
      </c>
      <c r="E15" s="6">
        <f t="shared" si="16"/>
        <v>32050</v>
      </c>
      <c r="F15" s="6">
        <f t="shared" si="6"/>
        <v>1000</v>
      </c>
      <c r="G15" s="6">
        <f t="shared" ref="G15:I15" si="32">G14</f>
        <v>0</v>
      </c>
      <c r="H15" s="6">
        <f t="shared" si="32"/>
        <v>300</v>
      </c>
      <c r="I15" s="6">
        <f t="shared" si="32"/>
        <v>75</v>
      </c>
      <c r="J15" s="6">
        <f t="shared" si="1"/>
        <v>5128</v>
      </c>
      <c r="K15" s="8">
        <f t="shared" si="2"/>
        <v>102653</v>
      </c>
      <c r="L15" s="8">
        <f t="shared" ref="L15:N15" si="33">L14</f>
        <v>20000</v>
      </c>
      <c r="M15" s="6">
        <f t="shared" si="33"/>
        <v>800</v>
      </c>
      <c r="N15" s="6">
        <f t="shared" si="33"/>
        <v>200</v>
      </c>
      <c r="O15" s="438">
        <v>0</v>
      </c>
      <c r="P15" s="276"/>
      <c r="Q15" s="439">
        <f t="shared" ref="Q15:Q17" si="34">M86</f>
        <v>22400</v>
      </c>
      <c r="R15" s="276"/>
      <c r="S15" s="8">
        <f t="shared" si="3"/>
        <v>43400</v>
      </c>
      <c r="T15" s="277">
        <f t="shared" si="4"/>
        <v>59253</v>
      </c>
      <c r="U15" s="276"/>
      <c r="V15" s="24"/>
      <c r="W15" s="24"/>
    </row>
    <row r="16" spans="1:23" ht="30.75" customHeight="1" x14ac:dyDescent="0.2">
      <c r="A16" s="5" t="s">
        <v>205</v>
      </c>
      <c r="B16" s="6">
        <f t="shared" ref="B16:D16" si="35">B15</f>
        <v>0</v>
      </c>
      <c r="C16" s="6">
        <f t="shared" si="35"/>
        <v>0</v>
      </c>
      <c r="D16" s="6">
        <f t="shared" si="35"/>
        <v>64100</v>
      </c>
      <c r="E16" s="6">
        <f t="shared" si="16"/>
        <v>32050</v>
      </c>
      <c r="F16" s="6">
        <f t="shared" si="6"/>
        <v>1000</v>
      </c>
      <c r="G16" s="6">
        <f t="shared" ref="G16:I16" si="36">G15</f>
        <v>0</v>
      </c>
      <c r="H16" s="6">
        <f t="shared" si="36"/>
        <v>300</v>
      </c>
      <c r="I16" s="6">
        <f t="shared" si="36"/>
        <v>75</v>
      </c>
      <c r="J16" s="6">
        <f t="shared" si="1"/>
        <v>5128</v>
      </c>
      <c r="K16" s="8">
        <f t="shared" si="2"/>
        <v>102653</v>
      </c>
      <c r="L16" s="8">
        <f t="shared" ref="L16:N16" si="37">L15</f>
        <v>20000</v>
      </c>
      <c r="M16" s="6">
        <f t="shared" si="37"/>
        <v>800</v>
      </c>
      <c r="N16" s="6">
        <f t="shared" si="37"/>
        <v>200</v>
      </c>
      <c r="O16" s="438">
        <v>0</v>
      </c>
      <c r="P16" s="276"/>
      <c r="Q16" s="439">
        <f t="shared" si="34"/>
        <v>22400</v>
      </c>
      <c r="R16" s="276"/>
      <c r="S16" s="8">
        <f t="shared" si="3"/>
        <v>43400</v>
      </c>
      <c r="T16" s="277">
        <f t="shared" si="4"/>
        <v>59253</v>
      </c>
      <c r="U16" s="276"/>
      <c r="V16" s="24"/>
      <c r="W16" s="24"/>
    </row>
    <row r="17" spans="1:23" ht="30.75" customHeight="1" x14ac:dyDescent="0.2">
      <c r="A17" s="5" t="s">
        <v>206</v>
      </c>
      <c r="B17" s="6">
        <f t="shared" ref="B17:D17" si="38">B16</f>
        <v>0</v>
      </c>
      <c r="C17" s="6">
        <f t="shared" si="38"/>
        <v>0</v>
      </c>
      <c r="D17" s="6">
        <f t="shared" si="38"/>
        <v>64100</v>
      </c>
      <c r="E17" s="6">
        <f t="shared" si="16"/>
        <v>32050</v>
      </c>
      <c r="F17" s="6">
        <f t="shared" si="6"/>
        <v>1000</v>
      </c>
      <c r="G17" s="6">
        <f t="shared" ref="G17:I17" si="39">G16</f>
        <v>0</v>
      </c>
      <c r="H17" s="6">
        <f t="shared" si="39"/>
        <v>300</v>
      </c>
      <c r="I17" s="6">
        <f t="shared" si="39"/>
        <v>75</v>
      </c>
      <c r="J17" s="6">
        <f t="shared" si="1"/>
        <v>5128</v>
      </c>
      <c r="K17" s="8">
        <f t="shared" si="2"/>
        <v>102653</v>
      </c>
      <c r="L17" s="8">
        <f t="shared" ref="L17:N17" si="40">L16</f>
        <v>20000</v>
      </c>
      <c r="M17" s="6">
        <f t="shared" si="40"/>
        <v>800</v>
      </c>
      <c r="N17" s="6">
        <f t="shared" si="40"/>
        <v>200</v>
      </c>
      <c r="O17" s="438">
        <v>0</v>
      </c>
      <c r="P17" s="276"/>
      <c r="Q17" s="439">
        <f t="shared" si="34"/>
        <v>22270</v>
      </c>
      <c r="R17" s="276"/>
      <c r="S17" s="8">
        <f t="shared" si="3"/>
        <v>43270</v>
      </c>
      <c r="T17" s="277">
        <f t="shared" si="4"/>
        <v>59383</v>
      </c>
      <c r="U17" s="276"/>
      <c r="V17" s="24"/>
      <c r="W17" s="24"/>
    </row>
    <row r="18" spans="1:23" ht="30.75" customHeight="1" x14ac:dyDescent="0.2">
      <c r="A18" s="7"/>
      <c r="B18" s="8">
        <f>SUM(B6:B17)</f>
        <v>0</v>
      </c>
      <c r="C18" s="6">
        <f>C17</f>
        <v>0</v>
      </c>
      <c r="D18" s="8">
        <f t="shared" ref="D18:O18" si="41">SUM(D6:D17)</f>
        <v>761600</v>
      </c>
      <c r="E18" s="8">
        <f t="shared" si="41"/>
        <v>370848</v>
      </c>
      <c r="F18" s="9">
        <f t="shared" si="41"/>
        <v>12000</v>
      </c>
      <c r="G18" s="8">
        <f t="shared" si="41"/>
        <v>0</v>
      </c>
      <c r="H18" s="8">
        <f t="shared" si="41"/>
        <v>3600</v>
      </c>
      <c r="I18" s="8">
        <f t="shared" si="41"/>
        <v>900</v>
      </c>
      <c r="J18" s="8">
        <f t="shared" si="41"/>
        <v>60928</v>
      </c>
      <c r="K18" s="9">
        <f t="shared" si="41"/>
        <v>1209876</v>
      </c>
      <c r="L18" s="9">
        <f t="shared" si="41"/>
        <v>240000</v>
      </c>
      <c r="M18" s="8">
        <f t="shared" si="41"/>
        <v>9600</v>
      </c>
      <c r="N18" s="8">
        <f t="shared" si="41"/>
        <v>2400</v>
      </c>
      <c r="O18" s="438">
        <f t="shared" si="41"/>
        <v>0</v>
      </c>
      <c r="P18" s="276"/>
      <c r="Q18" s="439">
        <f>SUM(Q6:Q17)</f>
        <v>121070</v>
      </c>
      <c r="R18" s="276"/>
      <c r="S18" s="8">
        <f t="shared" ref="S18:T18" si="42">SUM(S6:S17)</f>
        <v>373070</v>
      </c>
      <c r="T18" s="277">
        <f t="shared" si="42"/>
        <v>836806</v>
      </c>
      <c r="U18" s="276"/>
      <c r="V18" s="24"/>
      <c r="W18" s="24"/>
    </row>
    <row r="19" spans="1:23" ht="18.75" customHeight="1" x14ac:dyDescent="0.2">
      <c r="A19" s="442" t="s">
        <v>207</v>
      </c>
      <c r="B19" s="275"/>
      <c r="C19" s="276"/>
      <c r="D19" s="443">
        <v>12440</v>
      </c>
      <c r="E19" s="276"/>
      <c r="F19" s="10"/>
      <c r="G19" s="10"/>
      <c r="H19" s="10"/>
      <c r="I19" s="10"/>
      <c r="J19" s="10"/>
      <c r="K19" s="10"/>
      <c r="L19" s="10"/>
      <c r="M19" s="10"/>
      <c r="N19" s="10"/>
      <c r="O19" s="10"/>
      <c r="P19" s="24"/>
      <c r="Q19" s="24"/>
      <c r="R19" s="24"/>
      <c r="S19" s="24"/>
      <c r="T19" s="24"/>
      <c r="U19" s="24"/>
      <c r="V19" s="24"/>
      <c r="W19" s="24"/>
    </row>
    <row r="20" spans="1:23" ht="18.75" customHeight="1" x14ac:dyDescent="0.2">
      <c r="A20" s="442" t="s">
        <v>24</v>
      </c>
      <c r="B20" s="275"/>
      <c r="C20" s="276"/>
      <c r="D20" s="443">
        <v>14928</v>
      </c>
      <c r="E20" s="276"/>
      <c r="F20" s="10"/>
      <c r="G20" s="10"/>
      <c r="H20" s="10"/>
      <c r="I20" s="10"/>
      <c r="J20" s="10"/>
      <c r="K20" s="10"/>
      <c r="L20" s="10"/>
      <c r="M20" s="10"/>
      <c r="N20" s="10"/>
      <c r="O20" s="10"/>
      <c r="P20" s="24"/>
      <c r="Q20" s="24"/>
      <c r="R20" s="24"/>
      <c r="S20" s="24"/>
      <c r="T20" s="24"/>
      <c r="U20" s="24"/>
      <c r="V20" s="24"/>
      <c r="W20" s="24"/>
    </row>
    <row r="21" spans="1:23" ht="18.75" customHeight="1" x14ac:dyDescent="0.2">
      <c r="A21" s="442" t="s">
        <v>25</v>
      </c>
      <c r="B21" s="275"/>
      <c r="C21" s="276"/>
      <c r="D21" s="443">
        <v>0</v>
      </c>
      <c r="E21" s="276"/>
      <c r="F21" s="10"/>
      <c r="G21" s="10"/>
      <c r="H21" s="10"/>
      <c r="I21" s="10"/>
      <c r="J21" s="10"/>
      <c r="K21" s="10"/>
      <c r="L21" s="10"/>
      <c r="M21" s="10"/>
      <c r="N21" s="10"/>
      <c r="O21" s="10"/>
      <c r="P21" s="24"/>
      <c r="Q21" s="24"/>
      <c r="R21" s="24"/>
      <c r="S21" s="24"/>
      <c r="T21" s="24"/>
      <c r="U21" s="24"/>
      <c r="V21" s="24"/>
      <c r="W21" s="24"/>
    </row>
    <row r="22" spans="1:23" ht="18.75" customHeight="1" x14ac:dyDescent="0.2">
      <c r="A22" s="442" t="s">
        <v>26</v>
      </c>
      <c r="B22" s="275"/>
      <c r="C22" s="276"/>
      <c r="D22" s="443">
        <v>0</v>
      </c>
      <c r="E22" s="276"/>
      <c r="F22" s="10"/>
      <c r="G22" s="10"/>
      <c r="H22" s="10"/>
      <c r="I22" s="10"/>
      <c r="J22" s="10"/>
      <c r="K22" s="10"/>
      <c r="L22" s="10"/>
      <c r="M22" s="10"/>
      <c r="N22" s="10"/>
      <c r="O22" s="10"/>
      <c r="P22" s="24"/>
      <c r="Q22" s="24"/>
      <c r="R22" s="24"/>
      <c r="S22" s="24"/>
      <c r="T22" s="24"/>
      <c r="U22" s="24"/>
      <c r="V22" s="24"/>
      <c r="W22" s="24"/>
    </row>
    <row r="23" spans="1:23" ht="15.75" customHeight="1" x14ac:dyDescent="0.2">
      <c r="A23" s="442" t="s">
        <v>33</v>
      </c>
      <c r="B23" s="275"/>
      <c r="C23" s="276"/>
      <c r="D23" s="443">
        <v>0</v>
      </c>
      <c r="E23" s="276"/>
      <c r="F23" s="10"/>
      <c r="G23" s="10"/>
      <c r="H23" s="10"/>
      <c r="I23" s="10"/>
      <c r="J23" s="10"/>
      <c r="K23" s="10"/>
      <c r="L23" s="10"/>
      <c r="M23" s="10"/>
      <c r="N23" s="10"/>
      <c r="O23" s="10"/>
      <c r="P23" s="24"/>
      <c r="Q23" s="24"/>
      <c r="R23" s="24"/>
      <c r="S23" s="24"/>
      <c r="T23" s="24"/>
      <c r="U23" s="24"/>
      <c r="V23" s="24"/>
      <c r="W23" s="24"/>
    </row>
    <row r="24" spans="1:23" ht="18" customHeight="1" x14ac:dyDescent="0.2">
      <c r="A24" s="442" t="s">
        <v>36</v>
      </c>
      <c r="B24" s="275"/>
      <c r="C24" s="276"/>
      <c r="D24" s="444">
        <v>0</v>
      </c>
      <c r="E24" s="329"/>
      <c r="F24" s="10"/>
      <c r="G24" s="10"/>
      <c r="H24" s="10"/>
      <c r="I24" s="10"/>
      <c r="J24" s="10"/>
      <c r="K24" s="10"/>
      <c r="L24" s="10"/>
      <c r="M24" s="10"/>
      <c r="N24" s="10"/>
      <c r="O24" s="10"/>
      <c r="P24" s="24"/>
      <c r="Q24" s="24"/>
      <c r="R24" s="24"/>
      <c r="S24" s="24"/>
      <c r="T24" s="24"/>
      <c r="U24" s="24"/>
      <c r="V24" s="24"/>
      <c r="W24" s="24"/>
    </row>
    <row r="25" spans="1:23" ht="18" customHeight="1" x14ac:dyDescent="0.2">
      <c r="A25" s="442" t="s">
        <v>38</v>
      </c>
      <c r="B25" s="275"/>
      <c r="C25" s="276"/>
      <c r="D25" s="444">
        <v>0</v>
      </c>
      <c r="E25" s="329"/>
      <c r="F25" s="10"/>
      <c r="G25" s="10"/>
      <c r="H25" s="10"/>
      <c r="I25" s="10"/>
      <c r="J25" s="10"/>
      <c r="K25" s="10"/>
      <c r="L25" s="10"/>
      <c r="M25" s="10"/>
      <c r="N25" s="10"/>
      <c r="O25" s="10"/>
      <c r="P25" s="24"/>
      <c r="Q25" s="24"/>
      <c r="R25" s="24"/>
      <c r="S25" s="24"/>
      <c r="T25" s="24"/>
      <c r="U25" s="24"/>
      <c r="V25" s="24"/>
      <c r="W25" s="24"/>
    </row>
    <row r="26" spans="1:23" ht="18.75" customHeight="1" x14ac:dyDescent="0.2">
      <c r="A26" s="442"/>
      <c r="B26" s="275"/>
      <c r="C26" s="276"/>
      <c r="D26" s="444">
        <v>0</v>
      </c>
      <c r="E26" s="329"/>
      <c r="F26" s="10"/>
      <c r="G26" s="10"/>
      <c r="H26" s="10"/>
      <c r="I26" s="10"/>
      <c r="J26" s="10"/>
      <c r="K26" s="10"/>
      <c r="L26" s="10"/>
      <c r="M26" s="10"/>
      <c r="N26" s="10"/>
      <c r="O26" s="10"/>
      <c r="P26" s="24"/>
      <c r="Q26" s="24"/>
      <c r="R26" s="24"/>
      <c r="S26" s="24"/>
      <c r="T26" s="24"/>
      <c r="U26" s="24"/>
      <c r="V26" s="24"/>
      <c r="W26" s="24"/>
    </row>
    <row r="27" spans="1:23" ht="18.75" customHeight="1" x14ac:dyDescent="0.2">
      <c r="A27" s="442"/>
      <c r="B27" s="275"/>
      <c r="C27" s="276"/>
      <c r="D27" s="444">
        <v>0</v>
      </c>
      <c r="E27" s="329"/>
      <c r="F27" s="10"/>
      <c r="G27" s="10"/>
      <c r="H27" s="10"/>
      <c r="I27" s="10"/>
      <c r="J27" s="10"/>
      <c r="K27" s="10"/>
      <c r="L27" s="10"/>
      <c r="M27" s="10"/>
      <c r="N27" s="10"/>
      <c r="O27" s="10"/>
      <c r="P27" s="24"/>
      <c r="Q27" s="24"/>
      <c r="R27" s="24"/>
      <c r="S27" s="24"/>
      <c r="T27" s="24"/>
      <c r="U27" s="24"/>
      <c r="V27" s="24"/>
      <c r="W27" s="24"/>
    </row>
    <row r="28" spans="1:23" ht="13.5" customHeight="1" x14ac:dyDescent="0.2">
      <c r="A28" s="11"/>
      <c r="B28" s="11"/>
      <c r="C28" s="10"/>
      <c r="D28" s="10"/>
      <c r="E28" s="10"/>
      <c r="F28" s="10"/>
      <c r="G28" s="10"/>
      <c r="H28" s="10"/>
      <c r="I28" s="10"/>
      <c r="J28" s="10"/>
      <c r="K28" s="10"/>
      <c r="L28" s="10"/>
      <c r="M28" s="10"/>
      <c r="N28" s="10"/>
      <c r="O28" s="10"/>
      <c r="P28" s="24"/>
      <c r="Q28" s="24"/>
      <c r="R28" s="24"/>
      <c r="S28" s="24"/>
      <c r="T28" s="24"/>
      <c r="U28" s="24"/>
      <c r="V28" s="24"/>
      <c r="W28" s="24"/>
    </row>
    <row r="29" spans="1:23" ht="17.25" customHeight="1" x14ac:dyDescent="0.2">
      <c r="A29" s="391" t="s">
        <v>102</v>
      </c>
      <c r="B29" s="303"/>
      <c r="C29" s="392"/>
      <c r="D29" s="303"/>
      <c r="E29" s="303"/>
      <c r="F29" s="393"/>
      <c r="G29" s="303"/>
      <c r="H29" s="303"/>
      <c r="I29" s="303"/>
      <c r="J29" s="303"/>
      <c r="K29" s="303"/>
      <c r="L29" s="303"/>
      <c r="M29" s="303"/>
      <c r="N29" s="303"/>
      <c r="O29" s="392" t="str">
        <f>DATA!K6</f>
        <v>પ્રા.શાળા</v>
      </c>
      <c r="P29" s="303"/>
      <c r="Q29" s="306"/>
      <c r="R29" s="36"/>
      <c r="S29" s="36"/>
      <c r="T29" s="36"/>
      <c r="U29" s="36"/>
      <c r="V29" s="36"/>
      <c r="W29" s="36"/>
    </row>
    <row r="30" spans="1:23" ht="17.25" customHeight="1" x14ac:dyDescent="0.2">
      <c r="A30" s="302" t="s">
        <v>208</v>
      </c>
      <c r="B30" s="303"/>
      <c r="C30" s="304" t="str">
        <f>DATA!E13</f>
        <v>2025-2026</v>
      </c>
      <c r="D30" s="303"/>
      <c r="E30" s="303"/>
      <c r="F30" s="12"/>
      <c r="G30" s="12"/>
      <c r="H30" s="12"/>
      <c r="I30" s="12"/>
      <c r="J30" s="305" t="s">
        <v>104</v>
      </c>
      <c r="K30" s="303"/>
      <c r="L30" s="303"/>
      <c r="M30" s="303"/>
      <c r="N30" s="304" t="str">
        <f>DATA!O13</f>
        <v>2026 - 2027</v>
      </c>
      <c r="O30" s="303"/>
      <c r="P30" s="303"/>
      <c r="Q30" s="306"/>
      <c r="R30" s="24"/>
      <c r="S30" s="24"/>
      <c r="T30" s="24"/>
      <c r="U30" s="24"/>
      <c r="V30" s="24"/>
      <c r="W30" s="24"/>
    </row>
    <row r="31" spans="1:23" ht="17.25" customHeight="1" x14ac:dyDescent="0.2">
      <c r="A31" s="13"/>
      <c r="B31" s="307" t="s">
        <v>105</v>
      </c>
      <c r="C31" s="303"/>
      <c r="D31" s="303"/>
      <c r="E31" s="303"/>
      <c r="F31" s="308" t="s">
        <v>8</v>
      </c>
      <c r="G31" s="303"/>
      <c r="H31" s="303"/>
      <c r="I31" s="303"/>
      <c r="J31" s="303"/>
      <c r="K31" s="309" t="s">
        <v>209</v>
      </c>
      <c r="L31" s="303"/>
      <c r="M31" s="303"/>
      <c r="N31" s="309" t="s">
        <v>210</v>
      </c>
      <c r="O31" s="303"/>
      <c r="P31" s="303"/>
      <c r="Q31" s="306"/>
      <c r="R31" s="24"/>
      <c r="S31" s="24"/>
      <c r="T31" s="24"/>
      <c r="U31" s="24"/>
      <c r="V31" s="24"/>
      <c r="W31" s="24"/>
    </row>
    <row r="32" spans="1:23" ht="17.25" customHeight="1" x14ac:dyDescent="0.2">
      <c r="A32" s="14"/>
      <c r="B32" s="310" t="s">
        <v>106</v>
      </c>
      <c r="C32" s="294"/>
      <c r="D32" s="294"/>
      <c r="E32" s="294"/>
      <c r="F32" s="311" t="str">
        <f>F31</f>
        <v>PATEL</v>
      </c>
      <c r="G32" s="272"/>
      <c r="H32" s="272"/>
      <c r="I32" s="272"/>
      <c r="J32" s="272"/>
      <c r="K32" s="312" t="str">
        <f>N31</f>
        <v>KACHARABHAI</v>
      </c>
      <c r="L32" s="272"/>
      <c r="M32" s="272"/>
      <c r="N32" s="272"/>
      <c r="O32" s="312"/>
      <c r="P32" s="272"/>
      <c r="Q32" s="273"/>
      <c r="R32" s="24"/>
      <c r="S32" s="24"/>
      <c r="T32" s="24"/>
      <c r="U32" s="24"/>
      <c r="V32" s="24"/>
      <c r="W32" s="24"/>
    </row>
    <row r="33" spans="1:23" ht="9" customHeight="1" x14ac:dyDescent="0.2">
      <c r="A33" s="379"/>
      <c r="B33" s="386" t="s">
        <v>107</v>
      </c>
      <c r="C33" s="293"/>
      <c r="D33" s="293"/>
      <c r="E33" s="291"/>
      <c r="F33" s="384" t="str">
        <f>DATA!E8</f>
        <v>KADJODARA   PRIMARY SCHOOL</v>
      </c>
      <c r="G33" s="293"/>
      <c r="H33" s="293"/>
      <c r="I33" s="293"/>
      <c r="J33" s="293"/>
      <c r="K33" s="293"/>
      <c r="L33" s="293"/>
      <c r="M33" s="293"/>
      <c r="N33" s="293"/>
      <c r="O33" s="293"/>
      <c r="P33" s="293"/>
      <c r="Q33" s="356"/>
      <c r="R33" s="24"/>
      <c r="S33" s="24"/>
      <c r="T33" s="24"/>
      <c r="U33" s="24"/>
      <c r="V33" s="24"/>
      <c r="W33" s="24"/>
    </row>
    <row r="34" spans="1:23" ht="7.5" customHeight="1" x14ac:dyDescent="0.2">
      <c r="A34" s="380"/>
      <c r="B34" s="362"/>
      <c r="C34" s="377"/>
      <c r="D34" s="377"/>
      <c r="E34" s="387"/>
      <c r="F34" s="286"/>
      <c r="G34" s="294"/>
      <c r="H34" s="294"/>
      <c r="I34" s="294"/>
      <c r="J34" s="294"/>
      <c r="K34" s="294"/>
      <c r="L34" s="294"/>
      <c r="M34" s="294"/>
      <c r="N34" s="294"/>
      <c r="O34" s="294"/>
      <c r="P34" s="294"/>
      <c r="Q34" s="385"/>
      <c r="R34" s="24"/>
      <c r="S34" s="24"/>
      <c r="T34" s="24"/>
      <c r="U34" s="24"/>
      <c r="V34" s="24"/>
      <c r="W34" s="24"/>
    </row>
    <row r="35" spans="1:23" ht="15" customHeight="1" x14ac:dyDescent="0.2">
      <c r="A35" s="380"/>
      <c r="B35" s="362"/>
      <c r="C35" s="377"/>
      <c r="D35" s="377"/>
      <c r="E35" s="387"/>
      <c r="F35" s="313" t="s">
        <v>108</v>
      </c>
      <c r="G35" s="275"/>
      <c r="H35" s="275"/>
      <c r="I35" s="275"/>
      <c r="J35" s="275"/>
      <c r="K35" s="276"/>
      <c r="L35" s="314" t="str">
        <f>DATA!G9</f>
        <v>DEHGAM</v>
      </c>
      <c r="M35" s="275"/>
      <c r="N35" s="275"/>
      <c r="O35" s="275"/>
      <c r="P35" s="275"/>
      <c r="Q35" s="315"/>
      <c r="R35" s="24"/>
      <c r="S35" s="24"/>
      <c r="T35" s="24"/>
      <c r="U35" s="24"/>
      <c r="V35" s="24"/>
      <c r="W35" s="24"/>
    </row>
    <row r="36" spans="1:23" ht="15.75" customHeight="1" x14ac:dyDescent="0.2">
      <c r="A36" s="381"/>
      <c r="B36" s="294"/>
      <c r="C36" s="294"/>
      <c r="D36" s="294"/>
      <c r="E36" s="292"/>
      <c r="F36" s="316" t="s">
        <v>109</v>
      </c>
      <c r="G36" s="275"/>
      <c r="H36" s="275"/>
      <c r="I36" s="275"/>
      <c r="J36" s="275"/>
      <c r="K36" s="276"/>
      <c r="L36" s="314">
        <v>382028</v>
      </c>
      <c r="M36" s="275"/>
      <c r="N36" s="275"/>
      <c r="O36" s="275"/>
      <c r="P36" s="275"/>
      <c r="Q36" s="315"/>
      <c r="R36" s="24"/>
      <c r="S36" s="24"/>
      <c r="T36" s="24"/>
      <c r="U36" s="24"/>
      <c r="V36" s="24"/>
      <c r="W36" s="24"/>
    </row>
    <row r="37" spans="1:23" ht="15.75" customHeight="1" x14ac:dyDescent="0.2">
      <c r="A37" s="15"/>
      <c r="B37" s="318" t="s">
        <v>110</v>
      </c>
      <c r="C37" s="276"/>
      <c r="D37" s="323"/>
      <c r="E37" s="276"/>
      <c r="F37" s="320" t="s">
        <v>18</v>
      </c>
      <c r="G37" s="275"/>
      <c r="H37" s="275"/>
      <c r="I37" s="275"/>
      <c r="J37" s="275"/>
      <c r="K37" s="275"/>
      <c r="L37" s="276"/>
      <c r="M37" s="321"/>
      <c r="N37" s="275"/>
      <c r="O37" s="275"/>
      <c r="P37" s="275"/>
      <c r="Q37" s="315"/>
      <c r="R37" s="24"/>
      <c r="S37" s="24"/>
      <c r="T37" s="24"/>
      <c r="U37" s="24"/>
      <c r="V37" s="24"/>
      <c r="W37" s="24"/>
    </row>
    <row r="38" spans="1:23" ht="17.25" customHeight="1" x14ac:dyDescent="0.2">
      <c r="A38" s="15"/>
      <c r="B38" s="318" t="s">
        <v>15</v>
      </c>
      <c r="C38" s="275"/>
      <c r="D38" s="275"/>
      <c r="E38" s="276"/>
      <c r="F38" s="323"/>
      <c r="G38" s="275"/>
      <c r="H38" s="275"/>
      <c r="I38" s="275"/>
      <c r="J38" s="275"/>
      <c r="K38" s="275"/>
      <c r="L38" s="275"/>
      <c r="M38" s="275"/>
      <c r="N38" s="275"/>
      <c r="O38" s="275"/>
      <c r="P38" s="275"/>
      <c r="Q38" s="315"/>
      <c r="R38" s="24"/>
      <c r="S38" s="24"/>
      <c r="T38" s="24"/>
      <c r="U38" s="24"/>
      <c r="V38" s="24"/>
      <c r="W38" s="24"/>
    </row>
    <row r="39" spans="1:23" ht="17.25" customHeight="1" x14ac:dyDescent="0.2">
      <c r="A39" s="15"/>
      <c r="B39" s="318" t="s">
        <v>111</v>
      </c>
      <c r="C39" s="275"/>
      <c r="D39" s="275"/>
      <c r="E39" s="275"/>
      <c r="F39" s="324"/>
      <c r="G39" s="275"/>
      <c r="H39" s="275"/>
      <c r="I39" s="275"/>
      <c r="J39" s="275"/>
      <c r="K39" s="275"/>
      <c r="L39" s="275"/>
      <c r="M39" s="275"/>
      <c r="N39" s="275"/>
      <c r="O39" s="275"/>
      <c r="P39" s="275"/>
      <c r="Q39" s="315"/>
      <c r="R39" s="24"/>
      <c r="S39" s="24"/>
      <c r="T39" s="24"/>
      <c r="U39" s="24"/>
      <c r="V39" s="24"/>
      <c r="W39" s="24"/>
    </row>
    <row r="40" spans="1:23" ht="17.25" customHeight="1" x14ac:dyDescent="0.2">
      <c r="A40" s="16"/>
      <c r="B40" s="325" t="s">
        <v>112</v>
      </c>
      <c r="C40" s="326"/>
      <c r="D40" s="326"/>
      <c r="E40" s="326"/>
      <c r="F40" s="327"/>
      <c r="G40" s="326"/>
      <c r="H40" s="326"/>
      <c r="I40" s="326"/>
      <c r="J40" s="326"/>
      <c r="K40" s="25"/>
      <c r="L40" s="26" t="s">
        <v>213</v>
      </c>
      <c r="M40" s="25"/>
      <c r="N40" s="25"/>
      <c r="O40" s="25"/>
      <c r="P40" s="25"/>
      <c r="Q40" s="37"/>
      <c r="R40" s="24"/>
      <c r="S40" s="24"/>
      <c r="T40" s="24"/>
      <c r="U40" s="24"/>
      <c r="V40" s="24"/>
      <c r="W40" s="24"/>
    </row>
    <row r="41" spans="1:23" ht="15" customHeight="1" x14ac:dyDescent="0.2">
      <c r="A41" s="17" t="s">
        <v>113</v>
      </c>
      <c r="B41" s="328" t="s">
        <v>114</v>
      </c>
      <c r="C41" s="272"/>
      <c r="D41" s="272"/>
      <c r="E41" s="272"/>
      <c r="F41" s="272"/>
      <c r="G41" s="272"/>
      <c r="H41" s="272"/>
      <c r="I41" s="272"/>
      <c r="J41" s="272"/>
      <c r="K41" s="272"/>
      <c r="L41" s="329"/>
      <c r="M41" s="328" t="s">
        <v>115</v>
      </c>
      <c r="N41" s="272"/>
      <c r="O41" s="272"/>
      <c r="P41" s="272"/>
      <c r="Q41" s="273"/>
      <c r="R41" s="24"/>
      <c r="S41" s="24"/>
      <c r="T41" s="24"/>
      <c r="U41" s="24"/>
      <c r="V41" s="24"/>
      <c r="W41" s="24"/>
    </row>
    <row r="42" spans="1:23" ht="15" customHeight="1" x14ac:dyDescent="0.2">
      <c r="A42" s="18">
        <v>1</v>
      </c>
      <c r="B42" s="323" t="s">
        <v>116</v>
      </c>
      <c r="C42" s="275"/>
      <c r="D42" s="275"/>
      <c r="E42" s="275"/>
      <c r="F42" s="275"/>
      <c r="G42" s="275"/>
      <c r="H42" s="275"/>
      <c r="I42" s="275"/>
      <c r="J42" s="275"/>
      <c r="K42" s="275"/>
      <c r="L42" s="276"/>
      <c r="M42" s="330"/>
      <c r="N42" s="276"/>
      <c r="O42" s="331">
        <f>C117</f>
        <v>1237244</v>
      </c>
      <c r="P42" s="275"/>
      <c r="Q42" s="315"/>
      <c r="R42" s="24"/>
      <c r="S42" s="24"/>
      <c r="T42" s="24"/>
      <c r="U42" s="24"/>
      <c r="V42" s="24"/>
      <c r="W42" s="24"/>
    </row>
    <row r="43" spans="1:23" ht="15" customHeight="1" x14ac:dyDescent="0.2">
      <c r="A43" s="19">
        <v>2</v>
      </c>
      <c r="B43" s="332" t="s">
        <v>117</v>
      </c>
      <c r="C43" s="275"/>
      <c r="D43" s="275"/>
      <c r="E43" s="275"/>
      <c r="F43" s="275"/>
      <c r="G43" s="275"/>
      <c r="H43" s="275"/>
      <c r="I43" s="275"/>
      <c r="J43" s="275"/>
      <c r="K43" s="275"/>
      <c r="L43" s="276"/>
      <c r="M43" s="330"/>
      <c r="N43" s="276"/>
      <c r="O43" s="333"/>
      <c r="P43" s="275"/>
      <c r="Q43" s="315"/>
      <c r="R43" s="24"/>
      <c r="S43" s="24"/>
      <c r="T43" s="24"/>
      <c r="U43" s="24"/>
      <c r="V43" s="24"/>
      <c r="W43" s="24"/>
    </row>
    <row r="44" spans="1:23" ht="15" customHeight="1" x14ac:dyDescent="0.2">
      <c r="A44" s="19"/>
      <c r="B44" s="20">
        <v>1</v>
      </c>
      <c r="C44" s="323" t="s">
        <v>188</v>
      </c>
      <c r="D44" s="275"/>
      <c r="E44" s="275"/>
      <c r="F44" s="275"/>
      <c r="G44" s="275"/>
      <c r="H44" s="275"/>
      <c r="I44" s="275"/>
      <c r="J44" s="275"/>
      <c r="K44" s="275"/>
      <c r="L44" s="276"/>
      <c r="M44" s="335">
        <v>50000</v>
      </c>
      <c r="N44" s="276"/>
      <c r="O44" s="333"/>
      <c r="P44" s="275"/>
      <c r="Q44" s="315"/>
      <c r="R44" s="24"/>
      <c r="S44" s="24"/>
      <c r="T44" s="24"/>
      <c r="U44" s="24"/>
      <c r="V44" s="24"/>
      <c r="W44" s="24"/>
    </row>
    <row r="45" spans="1:23" ht="15" customHeight="1" x14ac:dyDescent="0.2">
      <c r="A45" s="19"/>
      <c r="B45" s="20">
        <v>2</v>
      </c>
      <c r="C45" s="445" t="s">
        <v>189</v>
      </c>
      <c r="D45" s="275"/>
      <c r="E45" s="275"/>
      <c r="F45" s="275"/>
      <c r="G45" s="275"/>
      <c r="H45" s="275"/>
      <c r="I45" s="275"/>
      <c r="J45" s="275"/>
      <c r="K45" s="275"/>
      <c r="L45" s="276"/>
      <c r="M45" s="335">
        <v>2400</v>
      </c>
      <c r="N45" s="276"/>
      <c r="O45" s="333"/>
      <c r="P45" s="275"/>
      <c r="Q45" s="315"/>
      <c r="R45" s="24"/>
      <c r="S45" s="24"/>
      <c r="T45" s="24"/>
      <c r="U45" s="24"/>
      <c r="V45" s="24"/>
      <c r="W45" s="24"/>
    </row>
    <row r="46" spans="1:23" ht="15" customHeight="1" x14ac:dyDescent="0.2">
      <c r="A46" s="19"/>
      <c r="B46" s="20">
        <v>3</v>
      </c>
      <c r="C46" s="446" t="s">
        <v>119</v>
      </c>
      <c r="D46" s="275"/>
      <c r="E46" s="275"/>
      <c r="F46" s="275"/>
      <c r="G46" s="275"/>
      <c r="H46" s="275"/>
      <c r="I46" s="275"/>
      <c r="J46" s="275"/>
      <c r="K46" s="275"/>
      <c r="L46" s="276"/>
      <c r="M46" s="335">
        <v>0</v>
      </c>
      <c r="N46" s="276"/>
      <c r="O46" s="333"/>
      <c r="P46" s="275"/>
      <c r="Q46" s="315"/>
      <c r="R46" s="24"/>
      <c r="S46" s="24"/>
      <c r="T46" s="24"/>
      <c r="U46" s="24"/>
      <c r="V46" s="24"/>
      <c r="W46" s="24"/>
    </row>
    <row r="47" spans="1:23" ht="15" customHeight="1" x14ac:dyDescent="0.2">
      <c r="A47" s="19"/>
      <c r="B47" s="20">
        <v>4</v>
      </c>
      <c r="C47" s="337" t="s">
        <v>120</v>
      </c>
      <c r="D47" s="275"/>
      <c r="E47" s="275"/>
      <c r="F47" s="275"/>
      <c r="G47" s="275"/>
      <c r="H47" s="275"/>
      <c r="I47" s="275"/>
      <c r="J47" s="275"/>
      <c r="K47" s="275"/>
      <c r="L47" s="29"/>
      <c r="M47" s="335"/>
      <c r="N47" s="276"/>
      <c r="O47" s="330"/>
      <c r="P47" s="275"/>
      <c r="Q47" s="315"/>
      <c r="R47" s="24"/>
      <c r="S47" s="24"/>
      <c r="T47" s="24"/>
      <c r="U47" s="24"/>
      <c r="V47" s="24"/>
      <c r="W47" s="24"/>
    </row>
    <row r="48" spans="1:23" ht="15" customHeight="1" x14ac:dyDescent="0.2">
      <c r="A48" s="19">
        <v>3</v>
      </c>
      <c r="B48" s="338" t="s">
        <v>121</v>
      </c>
      <c r="C48" s="275"/>
      <c r="D48" s="275"/>
      <c r="E48" s="275"/>
      <c r="F48" s="275"/>
      <c r="G48" s="275"/>
      <c r="H48" s="275"/>
      <c r="I48" s="275"/>
      <c r="J48" s="275"/>
      <c r="K48" s="275"/>
      <c r="L48" s="276"/>
      <c r="M48" s="335"/>
      <c r="N48" s="276"/>
      <c r="O48" s="331">
        <f>M44+M45+M46</f>
        <v>52400</v>
      </c>
      <c r="P48" s="275"/>
      <c r="Q48" s="315"/>
      <c r="R48" s="24"/>
      <c r="S48" s="24"/>
      <c r="T48" s="24"/>
      <c r="U48" s="24"/>
      <c r="V48" s="24"/>
      <c r="W48" s="24"/>
    </row>
    <row r="49" spans="1:23" ht="15" customHeight="1" x14ac:dyDescent="0.2">
      <c r="A49" s="19">
        <v>4</v>
      </c>
      <c r="B49" s="338" t="s">
        <v>122</v>
      </c>
      <c r="C49" s="275"/>
      <c r="D49" s="275"/>
      <c r="E49" s="275"/>
      <c r="F49" s="275"/>
      <c r="G49" s="275"/>
      <c r="H49" s="275"/>
      <c r="I49" s="275"/>
      <c r="J49" s="275"/>
      <c r="K49" s="275"/>
      <c r="L49" s="276"/>
      <c r="M49" s="335"/>
      <c r="N49" s="276"/>
      <c r="O49" s="331">
        <f>O42-O48</f>
        <v>1184844</v>
      </c>
      <c r="P49" s="275"/>
      <c r="Q49" s="315"/>
      <c r="R49" s="24"/>
      <c r="S49" s="24"/>
      <c r="T49" s="24"/>
      <c r="U49" s="24"/>
      <c r="V49" s="24"/>
      <c r="W49" s="24"/>
    </row>
    <row r="50" spans="1:23" ht="15" customHeight="1" x14ac:dyDescent="0.2">
      <c r="A50" s="18">
        <v>5</v>
      </c>
      <c r="B50" s="323" t="s">
        <v>123</v>
      </c>
      <c r="C50" s="275"/>
      <c r="D50" s="275"/>
      <c r="E50" s="275"/>
      <c r="F50" s="275"/>
      <c r="G50" s="275"/>
      <c r="H50" s="275"/>
      <c r="I50" s="275"/>
      <c r="J50" s="275"/>
      <c r="K50" s="275"/>
      <c r="L50" s="276"/>
      <c r="M50" s="335"/>
      <c r="N50" s="276"/>
      <c r="O50" s="331"/>
      <c r="P50" s="275"/>
      <c r="Q50" s="315"/>
      <c r="R50" s="24"/>
      <c r="S50" s="24"/>
      <c r="T50" s="24"/>
      <c r="U50" s="24"/>
      <c r="V50" s="24"/>
      <c r="W50" s="24"/>
    </row>
    <row r="51" spans="1:23" ht="15" customHeight="1" x14ac:dyDescent="0.2">
      <c r="A51" s="18"/>
      <c r="B51" s="20">
        <v>1</v>
      </c>
      <c r="C51" s="332" t="s">
        <v>191</v>
      </c>
      <c r="D51" s="275"/>
      <c r="E51" s="275"/>
      <c r="F51" s="275"/>
      <c r="G51" s="275"/>
      <c r="H51" s="275"/>
      <c r="I51" s="275"/>
      <c r="J51" s="275"/>
      <c r="K51" s="275"/>
      <c r="L51" s="276"/>
      <c r="M51" s="335">
        <v>240000</v>
      </c>
      <c r="N51" s="276"/>
      <c r="O51" s="333"/>
      <c r="P51" s="275"/>
      <c r="Q51" s="315"/>
      <c r="R51" s="24"/>
      <c r="S51" s="24"/>
      <c r="T51" s="24"/>
      <c r="U51" s="24"/>
      <c r="V51" s="24"/>
      <c r="W51" s="24"/>
    </row>
    <row r="52" spans="1:23" ht="15" customHeight="1" x14ac:dyDescent="0.2">
      <c r="A52" s="18"/>
      <c r="B52" s="20">
        <v>2</v>
      </c>
      <c r="C52" s="332" t="s">
        <v>192</v>
      </c>
      <c r="D52" s="275"/>
      <c r="E52" s="275"/>
      <c r="F52" s="275"/>
      <c r="G52" s="275"/>
      <c r="H52" s="275"/>
      <c r="I52" s="275"/>
      <c r="J52" s="275"/>
      <c r="K52" s="30"/>
      <c r="L52" s="31"/>
      <c r="M52" s="335">
        <v>0</v>
      </c>
      <c r="N52" s="276"/>
      <c r="O52" s="333"/>
      <c r="P52" s="275"/>
      <c r="Q52" s="315"/>
      <c r="R52" s="24"/>
      <c r="S52" s="24"/>
      <c r="T52" s="24"/>
      <c r="U52" s="24"/>
      <c r="V52" s="24"/>
      <c r="W52" s="24"/>
    </row>
    <row r="53" spans="1:23" ht="15" customHeight="1" x14ac:dyDescent="0.2">
      <c r="A53" s="18"/>
      <c r="B53" s="20">
        <v>3</v>
      </c>
      <c r="C53" s="332" t="s">
        <v>124</v>
      </c>
      <c r="D53" s="275"/>
      <c r="E53" s="275"/>
      <c r="F53" s="275"/>
      <c r="G53" s="275"/>
      <c r="H53" s="275"/>
      <c r="I53" s="275"/>
      <c r="J53" s="275"/>
      <c r="K53" s="30"/>
      <c r="L53" s="31"/>
      <c r="M53" s="335">
        <v>9600</v>
      </c>
      <c r="N53" s="276"/>
      <c r="O53" s="333"/>
      <c r="P53" s="275"/>
      <c r="Q53" s="315"/>
      <c r="R53" s="24"/>
      <c r="S53" s="24"/>
      <c r="T53" s="24"/>
      <c r="U53" s="24"/>
      <c r="V53" s="24"/>
      <c r="W53" s="24"/>
    </row>
    <row r="54" spans="1:23" ht="15" customHeight="1" x14ac:dyDescent="0.2">
      <c r="A54" s="18"/>
      <c r="B54" s="20">
        <v>4</v>
      </c>
      <c r="C54" s="332" t="s">
        <v>125</v>
      </c>
      <c r="D54" s="275"/>
      <c r="E54" s="275"/>
      <c r="F54" s="275"/>
      <c r="G54" s="275"/>
      <c r="H54" s="275"/>
      <c r="I54" s="275"/>
      <c r="J54" s="275"/>
      <c r="K54" s="30"/>
      <c r="L54" s="31"/>
      <c r="M54" s="335">
        <v>0</v>
      </c>
      <c r="N54" s="276"/>
      <c r="O54" s="333"/>
      <c r="P54" s="275"/>
      <c r="Q54" s="315"/>
      <c r="R54" s="24"/>
      <c r="S54" s="24"/>
      <c r="T54" s="24"/>
      <c r="U54" s="24"/>
      <c r="V54" s="24"/>
      <c r="W54" s="24"/>
    </row>
    <row r="55" spans="1:23" ht="15" customHeight="1" x14ac:dyDescent="0.2">
      <c r="A55" s="18"/>
      <c r="B55" s="20">
        <v>5</v>
      </c>
      <c r="C55" s="332" t="s">
        <v>126</v>
      </c>
      <c r="D55" s="275"/>
      <c r="E55" s="275"/>
      <c r="F55" s="275"/>
      <c r="G55" s="275"/>
      <c r="H55" s="275"/>
      <c r="I55" s="275"/>
      <c r="J55" s="275"/>
      <c r="K55" s="30"/>
      <c r="L55" s="31"/>
      <c r="M55" s="335">
        <v>0</v>
      </c>
      <c r="N55" s="276"/>
      <c r="O55" s="333"/>
      <c r="P55" s="275"/>
      <c r="Q55" s="315"/>
      <c r="R55" s="24"/>
      <c r="S55" s="24"/>
      <c r="T55" s="24"/>
      <c r="U55" s="24"/>
      <c r="V55" s="24"/>
      <c r="W55" s="24"/>
    </row>
    <row r="56" spans="1:23" ht="15" customHeight="1" x14ac:dyDescent="0.2">
      <c r="A56" s="18"/>
      <c r="B56" s="20">
        <v>6</v>
      </c>
      <c r="C56" s="332" t="s">
        <v>127</v>
      </c>
      <c r="D56" s="275"/>
      <c r="E56" s="275"/>
      <c r="F56" s="275"/>
      <c r="G56" s="275"/>
      <c r="H56" s="275"/>
      <c r="I56" s="275"/>
      <c r="J56" s="275"/>
      <c r="K56" s="30"/>
      <c r="L56" s="31"/>
      <c r="M56" s="335">
        <v>0</v>
      </c>
      <c r="N56" s="276"/>
      <c r="O56" s="333"/>
      <c r="P56" s="275"/>
      <c r="Q56" s="315"/>
      <c r="R56" s="24"/>
      <c r="S56" s="24"/>
      <c r="T56" s="24"/>
      <c r="U56" s="24"/>
      <c r="V56" s="24"/>
      <c r="W56" s="24"/>
    </row>
    <row r="57" spans="1:23" ht="15" customHeight="1" x14ac:dyDescent="0.2">
      <c r="A57" s="18"/>
      <c r="B57" s="20">
        <v>7</v>
      </c>
      <c r="C57" s="332" t="s">
        <v>49</v>
      </c>
      <c r="D57" s="275"/>
      <c r="E57" s="275"/>
      <c r="F57" s="275"/>
      <c r="G57" s="275"/>
      <c r="H57" s="275"/>
      <c r="I57" s="275"/>
      <c r="J57" s="275"/>
      <c r="K57" s="30"/>
      <c r="L57" s="31"/>
      <c r="M57" s="335">
        <v>0</v>
      </c>
      <c r="N57" s="276"/>
      <c r="O57" s="333"/>
      <c r="P57" s="275"/>
      <c r="Q57" s="315"/>
      <c r="R57" s="24"/>
      <c r="S57" s="24"/>
      <c r="T57" s="24"/>
      <c r="U57" s="24"/>
      <c r="V57" s="24"/>
      <c r="W57" s="24"/>
    </row>
    <row r="58" spans="1:23" ht="15" customHeight="1" x14ac:dyDescent="0.2">
      <c r="A58" s="18"/>
      <c r="B58" s="20">
        <v>8</v>
      </c>
      <c r="C58" s="332" t="s">
        <v>51</v>
      </c>
      <c r="D58" s="275"/>
      <c r="E58" s="275"/>
      <c r="F58" s="275"/>
      <c r="G58" s="275"/>
      <c r="H58" s="275"/>
      <c r="I58" s="275"/>
      <c r="J58" s="275"/>
      <c r="K58" s="30"/>
      <c r="L58" s="31"/>
      <c r="M58" s="335">
        <v>0</v>
      </c>
      <c r="N58" s="276"/>
      <c r="O58" s="333"/>
      <c r="P58" s="275"/>
      <c r="Q58" s="315"/>
      <c r="R58" s="24"/>
      <c r="S58" s="24"/>
      <c r="T58" s="24"/>
      <c r="U58" s="24"/>
      <c r="V58" s="24"/>
      <c r="W58" s="24"/>
    </row>
    <row r="59" spans="1:23" ht="15" customHeight="1" x14ac:dyDescent="0.2">
      <c r="A59" s="18"/>
      <c r="B59" s="20">
        <v>9</v>
      </c>
      <c r="C59" s="332" t="s">
        <v>128</v>
      </c>
      <c r="D59" s="275"/>
      <c r="E59" s="275"/>
      <c r="F59" s="275"/>
      <c r="G59" s="275"/>
      <c r="H59" s="275"/>
      <c r="I59" s="275"/>
      <c r="J59" s="275"/>
      <c r="K59" s="30"/>
      <c r="L59" s="31"/>
      <c r="M59" s="335">
        <v>0</v>
      </c>
      <c r="N59" s="276"/>
      <c r="O59" s="333"/>
      <c r="P59" s="275"/>
      <c r="Q59" s="315"/>
      <c r="R59" s="24"/>
      <c r="S59" s="24"/>
      <c r="T59" s="24"/>
      <c r="U59" s="24"/>
      <c r="V59" s="24"/>
      <c r="W59" s="24"/>
    </row>
    <row r="60" spans="1:23" ht="15" customHeight="1" x14ac:dyDescent="0.2">
      <c r="A60" s="18"/>
      <c r="B60" s="20">
        <v>10</v>
      </c>
      <c r="C60" s="332" t="s">
        <v>129</v>
      </c>
      <c r="D60" s="275"/>
      <c r="E60" s="275"/>
      <c r="F60" s="275"/>
      <c r="G60" s="275"/>
      <c r="H60" s="275"/>
      <c r="I60" s="275"/>
      <c r="J60" s="275"/>
      <c r="K60" s="30"/>
      <c r="L60" s="31"/>
      <c r="M60" s="335">
        <v>0</v>
      </c>
      <c r="N60" s="276"/>
      <c r="O60" s="333"/>
      <c r="P60" s="275"/>
      <c r="Q60" s="315"/>
      <c r="R60" s="24"/>
      <c r="S60" s="24"/>
      <c r="T60" s="24"/>
      <c r="U60" s="24"/>
      <c r="V60" s="24"/>
      <c r="W60" s="24"/>
    </row>
    <row r="61" spans="1:23" ht="15" customHeight="1" x14ac:dyDescent="0.2">
      <c r="A61" s="18"/>
      <c r="B61" s="20">
        <v>11</v>
      </c>
      <c r="C61" s="332" t="s">
        <v>130</v>
      </c>
      <c r="D61" s="275"/>
      <c r="E61" s="275"/>
      <c r="F61" s="275"/>
      <c r="G61" s="275"/>
      <c r="H61" s="275"/>
      <c r="I61" s="275"/>
      <c r="J61" s="275"/>
      <c r="K61" s="30"/>
      <c r="L61" s="31"/>
      <c r="M61" s="335">
        <v>0</v>
      </c>
      <c r="N61" s="276"/>
      <c r="O61" s="333"/>
      <c r="P61" s="275"/>
      <c r="Q61" s="315"/>
      <c r="R61" s="24"/>
      <c r="S61" s="24"/>
      <c r="T61" s="24"/>
      <c r="U61" s="24"/>
      <c r="V61" s="24"/>
      <c r="W61" s="24"/>
    </row>
    <row r="62" spans="1:23" ht="15" customHeight="1" x14ac:dyDescent="0.2">
      <c r="A62" s="18"/>
      <c r="B62" s="20">
        <v>12</v>
      </c>
      <c r="C62" s="332" t="s">
        <v>131</v>
      </c>
      <c r="D62" s="275"/>
      <c r="E62" s="275"/>
      <c r="F62" s="275"/>
      <c r="G62" s="275"/>
      <c r="H62" s="275"/>
      <c r="I62" s="275"/>
      <c r="J62" s="275"/>
      <c r="K62" s="30"/>
      <c r="L62" s="31"/>
      <c r="M62" s="335">
        <v>0</v>
      </c>
      <c r="N62" s="276"/>
      <c r="O62" s="331"/>
      <c r="P62" s="275"/>
      <c r="Q62" s="315"/>
      <c r="R62" s="24"/>
      <c r="S62" s="24"/>
      <c r="T62" s="24"/>
      <c r="U62" s="24"/>
      <c r="V62" s="24"/>
      <c r="W62" s="24"/>
    </row>
    <row r="63" spans="1:23" ht="15" customHeight="1" x14ac:dyDescent="0.2">
      <c r="A63" s="18"/>
      <c r="B63" s="20">
        <v>13</v>
      </c>
      <c r="C63" s="332" t="s">
        <v>132</v>
      </c>
      <c r="D63" s="275"/>
      <c r="E63" s="275"/>
      <c r="F63" s="275"/>
      <c r="G63" s="275"/>
      <c r="H63" s="275"/>
      <c r="I63" s="275"/>
      <c r="J63" s="275"/>
      <c r="K63" s="32"/>
      <c r="L63" s="33"/>
      <c r="M63" s="335">
        <v>0</v>
      </c>
      <c r="N63" s="276"/>
      <c r="O63" s="331"/>
      <c r="P63" s="275"/>
      <c r="Q63" s="315"/>
      <c r="R63" s="24"/>
      <c r="S63" s="24"/>
      <c r="T63" s="24"/>
      <c r="U63" s="24"/>
      <c r="V63" s="24"/>
      <c r="W63" s="24"/>
    </row>
    <row r="64" spans="1:23" ht="15" customHeight="1" x14ac:dyDescent="0.2">
      <c r="A64" s="18"/>
      <c r="B64" s="20">
        <v>14</v>
      </c>
      <c r="C64" s="332" t="s">
        <v>133</v>
      </c>
      <c r="D64" s="275"/>
      <c r="E64" s="275"/>
      <c r="F64" s="275"/>
      <c r="G64" s="275"/>
      <c r="H64" s="275"/>
      <c r="I64" s="275"/>
      <c r="J64" s="275"/>
      <c r="K64" s="32"/>
      <c r="L64" s="33"/>
      <c r="M64" s="335">
        <v>0</v>
      </c>
      <c r="N64" s="276"/>
      <c r="O64" s="331"/>
      <c r="P64" s="275"/>
      <c r="Q64" s="315"/>
      <c r="R64" s="24"/>
      <c r="S64" s="24"/>
      <c r="T64" s="24"/>
      <c r="U64" s="24"/>
      <c r="V64" s="24"/>
      <c r="W64" s="24"/>
    </row>
    <row r="65" spans="1:23" ht="15" customHeight="1" x14ac:dyDescent="0.2">
      <c r="A65" s="18"/>
      <c r="B65" s="338" t="s">
        <v>193</v>
      </c>
      <c r="C65" s="275"/>
      <c r="D65" s="275"/>
      <c r="E65" s="275"/>
      <c r="F65" s="275"/>
      <c r="G65" s="275"/>
      <c r="H65" s="275"/>
      <c r="I65" s="275"/>
      <c r="J65" s="275"/>
      <c r="K65" s="275"/>
      <c r="L65" s="276"/>
      <c r="M65" s="335">
        <f>SUM(M51:M62)</f>
        <v>249600</v>
      </c>
      <c r="N65" s="276"/>
      <c r="O65" s="331">
        <f>IF(M65&lt;150000,M65,150000)</f>
        <v>150000</v>
      </c>
      <c r="P65" s="275"/>
      <c r="Q65" s="315"/>
      <c r="R65" s="24"/>
      <c r="S65" s="24"/>
      <c r="T65" s="24"/>
      <c r="U65" s="24"/>
      <c r="V65" s="24"/>
      <c r="W65" s="24"/>
    </row>
    <row r="66" spans="1:23" ht="15" customHeight="1" x14ac:dyDescent="0.2">
      <c r="A66" s="18">
        <v>6</v>
      </c>
      <c r="B66" s="20">
        <v>1</v>
      </c>
      <c r="C66" s="332" t="s">
        <v>135</v>
      </c>
      <c r="D66" s="275"/>
      <c r="E66" s="275"/>
      <c r="F66" s="275"/>
      <c r="G66" s="275"/>
      <c r="H66" s="275"/>
      <c r="I66" s="275"/>
      <c r="J66" s="275"/>
      <c r="K66" s="275"/>
      <c r="L66" s="276"/>
      <c r="M66" s="335">
        <v>21802</v>
      </c>
      <c r="N66" s="276"/>
      <c r="O66" s="333"/>
      <c r="P66" s="275"/>
      <c r="Q66" s="315"/>
      <c r="R66" s="24"/>
      <c r="S66" s="24"/>
      <c r="T66" s="24"/>
      <c r="U66" s="24"/>
      <c r="V66" s="24"/>
      <c r="W66" s="24"/>
    </row>
    <row r="67" spans="1:23" ht="15" customHeight="1" x14ac:dyDescent="0.2">
      <c r="A67" s="18"/>
      <c r="B67" s="20">
        <v>2</v>
      </c>
      <c r="C67" s="332" t="s">
        <v>136</v>
      </c>
      <c r="D67" s="275"/>
      <c r="E67" s="275"/>
      <c r="F67" s="275"/>
      <c r="G67" s="275"/>
      <c r="H67" s="275"/>
      <c r="I67" s="275"/>
      <c r="J67" s="275"/>
      <c r="K67" s="275"/>
      <c r="L67" s="276"/>
      <c r="M67" s="335">
        <v>0</v>
      </c>
      <c r="N67" s="276"/>
      <c r="O67" s="333"/>
      <c r="P67" s="275"/>
      <c r="Q67" s="315"/>
      <c r="R67" s="24"/>
      <c r="S67" s="24"/>
      <c r="T67" s="24"/>
      <c r="U67" s="24"/>
      <c r="V67" s="24"/>
      <c r="W67" s="24"/>
    </row>
    <row r="68" spans="1:23" ht="15" customHeight="1" x14ac:dyDescent="0.2">
      <c r="A68" s="18"/>
      <c r="B68" s="20">
        <v>3</v>
      </c>
      <c r="C68" s="332" t="s">
        <v>137</v>
      </c>
      <c r="D68" s="275"/>
      <c r="E68" s="275"/>
      <c r="F68" s="275"/>
      <c r="G68" s="275"/>
      <c r="H68" s="275"/>
      <c r="I68" s="275"/>
      <c r="J68" s="275"/>
      <c r="K68" s="275"/>
      <c r="L68" s="276"/>
      <c r="M68" s="335">
        <v>0</v>
      </c>
      <c r="N68" s="276"/>
      <c r="O68" s="333"/>
      <c r="P68" s="275"/>
      <c r="Q68" s="315"/>
      <c r="R68" s="24"/>
      <c r="S68" s="24"/>
      <c r="T68" s="24"/>
      <c r="U68" s="24"/>
      <c r="V68" s="24"/>
      <c r="W68" s="24"/>
    </row>
    <row r="69" spans="1:23" ht="15" customHeight="1" x14ac:dyDescent="0.2">
      <c r="A69" s="18"/>
      <c r="B69" s="20">
        <v>4</v>
      </c>
      <c r="C69" s="447" t="s">
        <v>138</v>
      </c>
      <c r="D69" s="275"/>
      <c r="E69" s="275"/>
      <c r="F69" s="275"/>
      <c r="G69" s="275"/>
      <c r="H69" s="275"/>
      <c r="I69" s="275"/>
      <c r="J69" s="275"/>
      <c r="K69" s="275"/>
      <c r="L69" s="276"/>
      <c r="M69" s="335">
        <v>0</v>
      </c>
      <c r="N69" s="276"/>
      <c r="O69" s="333"/>
      <c r="P69" s="275"/>
      <c r="Q69" s="315"/>
      <c r="R69" s="24"/>
      <c r="S69" s="24"/>
      <c r="T69" s="24"/>
      <c r="U69" s="24"/>
      <c r="V69" s="24"/>
      <c r="W69" s="24"/>
    </row>
    <row r="70" spans="1:23" ht="15" customHeight="1" x14ac:dyDescent="0.2">
      <c r="A70" s="18"/>
      <c r="B70" s="20">
        <v>5</v>
      </c>
      <c r="C70" s="332" t="s">
        <v>214</v>
      </c>
      <c r="D70" s="275"/>
      <c r="E70" s="275"/>
      <c r="F70" s="275"/>
      <c r="G70" s="275"/>
      <c r="H70" s="275"/>
      <c r="I70" s="275"/>
      <c r="J70" s="275"/>
      <c r="K70" s="275"/>
      <c r="L70" s="276"/>
      <c r="M70" s="335">
        <v>0</v>
      </c>
      <c r="N70" s="276"/>
      <c r="O70" s="333"/>
      <c r="P70" s="275"/>
      <c r="Q70" s="315"/>
      <c r="R70" s="24"/>
      <c r="S70" s="24"/>
      <c r="T70" s="24"/>
      <c r="U70" s="24"/>
      <c r="V70" s="24"/>
      <c r="W70" s="24"/>
    </row>
    <row r="71" spans="1:23" ht="15" customHeight="1" x14ac:dyDescent="0.2">
      <c r="A71" s="18"/>
      <c r="B71" s="20">
        <v>6</v>
      </c>
      <c r="C71" s="332" t="s">
        <v>181</v>
      </c>
      <c r="D71" s="275"/>
      <c r="E71" s="275"/>
      <c r="F71" s="275"/>
      <c r="G71" s="275"/>
      <c r="H71" s="275"/>
      <c r="I71" s="275"/>
      <c r="J71" s="275"/>
      <c r="K71" s="275"/>
      <c r="L71" s="276"/>
      <c r="M71" s="335">
        <v>0</v>
      </c>
      <c r="N71" s="276"/>
      <c r="O71" s="28"/>
      <c r="P71" s="58"/>
      <c r="Q71" s="60"/>
      <c r="R71" s="24"/>
      <c r="S71" s="24"/>
      <c r="T71" s="24"/>
      <c r="U71" s="24"/>
      <c r="V71" s="24"/>
      <c r="W71" s="24"/>
    </row>
    <row r="72" spans="1:23" ht="15" customHeight="1" x14ac:dyDescent="0.2">
      <c r="A72" s="18"/>
      <c r="B72" s="338" t="s">
        <v>140</v>
      </c>
      <c r="C72" s="275"/>
      <c r="D72" s="275"/>
      <c r="E72" s="275"/>
      <c r="F72" s="275"/>
      <c r="G72" s="275"/>
      <c r="H72" s="275"/>
      <c r="I72" s="275"/>
      <c r="J72" s="275"/>
      <c r="K72" s="275"/>
      <c r="L72" s="276"/>
      <c r="M72" s="335">
        <f>SUM(M66:M70)</f>
        <v>21802</v>
      </c>
      <c r="N72" s="276"/>
      <c r="O72" s="331">
        <f>M72</f>
        <v>21802</v>
      </c>
      <c r="P72" s="275"/>
      <c r="Q72" s="315"/>
      <c r="R72" s="24"/>
      <c r="S72" s="24"/>
      <c r="T72" s="24"/>
      <c r="U72" s="24"/>
      <c r="V72" s="24"/>
      <c r="W72" s="24"/>
    </row>
    <row r="73" spans="1:23" ht="15" customHeight="1" x14ac:dyDescent="0.2">
      <c r="A73" s="18">
        <v>7</v>
      </c>
      <c r="B73" s="323" t="s">
        <v>141</v>
      </c>
      <c r="C73" s="275"/>
      <c r="D73" s="275"/>
      <c r="E73" s="275"/>
      <c r="F73" s="275"/>
      <c r="G73" s="275"/>
      <c r="H73" s="275"/>
      <c r="I73" s="275"/>
      <c r="J73" s="275"/>
      <c r="K73" s="275"/>
      <c r="L73" s="276"/>
      <c r="M73" s="335">
        <f>ROUND(O49-(O65+M72),-1)</f>
        <v>1013040</v>
      </c>
      <c r="N73" s="276"/>
      <c r="O73" s="331">
        <f>IF(M73&lt;250000,0,M73-250000)</f>
        <v>763040</v>
      </c>
      <c r="P73" s="275"/>
      <c r="Q73" s="315"/>
      <c r="R73" s="24"/>
      <c r="S73" s="24"/>
      <c r="T73" s="24"/>
      <c r="U73" s="24"/>
      <c r="V73" s="24"/>
      <c r="W73" s="24"/>
    </row>
    <row r="74" spans="1:23" ht="15" customHeight="1" x14ac:dyDescent="0.2">
      <c r="A74" s="18">
        <v>8</v>
      </c>
      <c r="B74" s="323" t="s">
        <v>142</v>
      </c>
      <c r="C74" s="275"/>
      <c r="D74" s="275"/>
      <c r="E74" s="275"/>
      <c r="F74" s="275"/>
      <c r="G74" s="275"/>
      <c r="H74" s="275"/>
      <c r="I74" s="275"/>
      <c r="J74" s="275"/>
      <c r="K74" s="275"/>
      <c r="L74" s="276"/>
      <c r="M74" s="335"/>
      <c r="N74" s="276"/>
      <c r="O74" s="333"/>
      <c r="P74" s="275"/>
      <c r="Q74" s="315"/>
      <c r="R74" s="24"/>
      <c r="S74" s="24"/>
      <c r="T74" s="24"/>
      <c r="U74" s="24"/>
      <c r="V74" s="24"/>
      <c r="W74" s="24"/>
    </row>
    <row r="75" spans="1:23" ht="15" customHeight="1" x14ac:dyDescent="0.2">
      <c r="A75" s="18"/>
      <c r="B75" s="20">
        <v>1</v>
      </c>
      <c r="C75" s="390" t="s">
        <v>195</v>
      </c>
      <c r="D75" s="275"/>
      <c r="E75" s="275"/>
      <c r="F75" s="275"/>
      <c r="G75" s="275"/>
      <c r="H75" s="275"/>
      <c r="I75" s="275"/>
      <c r="J75" s="275"/>
      <c r="K75" s="275"/>
      <c r="L75" s="276"/>
      <c r="M75" s="335">
        <f>IF(O73&lt;1,0,IF(M73&gt;499999,12500,ROUND((O73)*5%,0)))</f>
        <v>12500</v>
      </c>
      <c r="N75" s="276"/>
      <c r="O75" s="333"/>
      <c r="P75" s="275"/>
      <c r="Q75" s="315"/>
      <c r="R75" s="24"/>
      <c r="S75" s="24"/>
      <c r="T75" s="24"/>
      <c r="U75" s="24"/>
      <c r="V75" s="24"/>
      <c r="W75" s="24"/>
    </row>
    <row r="76" spans="1:23" ht="15" customHeight="1" x14ac:dyDescent="0.2">
      <c r="A76" s="18"/>
      <c r="B76" s="20">
        <v>2</v>
      </c>
      <c r="C76" s="390" t="s">
        <v>196</v>
      </c>
      <c r="D76" s="275"/>
      <c r="E76" s="275"/>
      <c r="F76" s="275"/>
      <c r="G76" s="275"/>
      <c r="H76" s="275"/>
      <c r="I76" s="275"/>
      <c r="J76" s="275"/>
      <c r="K76" s="275"/>
      <c r="L76" s="276"/>
      <c r="M76" s="335">
        <f>IF(M73&lt;500000,0,IF(M73&gt;999999,100000,ROUND((M73-500000)*20%,0)))</f>
        <v>100000</v>
      </c>
      <c r="N76" s="276"/>
      <c r="O76" s="333"/>
      <c r="P76" s="275"/>
      <c r="Q76" s="315"/>
      <c r="R76" s="24"/>
      <c r="S76" s="24"/>
      <c r="T76" s="24"/>
      <c r="U76" s="24"/>
      <c r="V76" s="24"/>
      <c r="W76" s="24"/>
    </row>
    <row r="77" spans="1:23" ht="15" customHeight="1" x14ac:dyDescent="0.2">
      <c r="A77" s="19"/>
      <c r="B77" s="20">
        <v>3</v>
      </c>
      <c r="C77" s="390" t="s">
        <v>197</v>
      </c>
      <c r="D77" s="275"/>
      <c r="E77" s="275"/>
      <c r="F77" s="275"/>
      <c r="G77" s="275"/>
      <c r="H77" s="275"/>
      <c r="I77" s="275"/>
      <c r="J77" s="275"/>
      <c r="K77" s="275"/>
      <c r="L77" s="276"/>
      <c r="M77" s="335">
        <f>IF(M73&lt;1000000,0,IF(M73&gt;1000000,ROUND((M73-1000000)*30%,0)))</f>
        <v>3912</v>
      </c>
      <c r="N77" s="276"/>
      <c r="O77" s="333"/>
      <c r="P77" s="275"/>
      <c r="Q77" s="315"/>
      <c r="R77" s="24"/>
      <c r="S77" s="24"/>
      <c r="T77" s="24"/>
      <c r="U77" s="24"/>
      <c r="V77" s="24"/>
      <c r="W77" s="24"/>
    </row>
    <row r="78" spans="1:23" ht="15" customHeight="1" x14ac:dyDescent="0.2">
      <c r="A78" s="18"/>
      <c r="B78" s="338" t="s">
        <v>198</v>
      </c>
      <c r="C78" s="275"/>
      <c r="D78" s="275"/>
      <c r="E78" s="275"/>
      <c r="F78" s="275"/>
      <c r="G78" s="275"/>
      <c r="H78" s="275"/>
      <c r="I78" s="275"/>
      <c r="J78" s="275"/>
      <c r="K78" s="275"/>
      <c r="L78" s="276"/>
      <c r="M78" s="335">
        <f>SUM(M75:M77)</f>
        <v>116412</v>
      </c>
      <c r="N78" s="276"/>
      <c r="O78" s="331">
        <f t="shared" ref="O78:O80" si="43">M78</f>
        <v>116412</v>
      </c>
      <c r="P78" s="275"/>
      <c r="Q78" s="315"/>
      <c r="R78" s="24"/>
      <c r="S78" s="24"/>
      <c r="T78" s="24"/>
      <c r="U78" s="24"/>
      <c r="V78" s="24"/>
      <c r="W78" s="24"/>
    </row>
    <row r="79" spans="1:23" ht="15" customHeight="1" x14ac:dyDescent="0.2">
      <c r="A79" s="18">
        <v>9</v>
      </c>
      <c r="B79" s="448" t="s">
        <v>199</v>
      </c>
      <c r="C79" s="275"/>
      <c r="D79" s="275"/>
      <c r="E79" s="275"/>
      <c r="F79" s="275"/>
      <c r="G79" s="275"/>
      <c r="H79" s="275"/>
      <c r="I79" s="275"/>
      <c r="J79" s="275"/>
      <c r="K79" s="275"/>
      <c r="L79" s="276"/>
      <c r="M79" s="335">
        <f>IF(M76=0,M75,0)</f>
        <v>0</v>
      </c>
      <c r="N79" s="276"/>
      <c r="O79" s="331">
        <f t="shared" si="43"/>
        <v>0</v>
      </c>
      <c r="P79" s="275"/>
      <c r="Q79" s="315"/>
      <c r="R79" s="24"/>
      <c r="S79" s="24"/>
      <c r="T79" s="24"/>
      <c r="U79" s="24"/>
      <c r="V79" s="24"/>
      <c r="W79" s="24"/>
    </row>
    <row r="80" spans="1:23" ht="15" customHeight="1" x14ac:dyDescent="0.2">
      <c r="A80" s="18">
        <v>10</v>
      </c>
      <c r="B80" s="323" t="s">
        <v>145</v>
      </c>
      <c r="C80" s="275"/>
      <c r="D80" s="275"/>
      <c r="E80" s="275"/>
      <c r="F80" s="275"/>
      <c r="G80" s="275"/>
      <c r="H80" s="275"/>
      <c r="I80" s="275"/>
      <c r="J80" s="275"/>
      <c r="K80" s="275"/>
      <c r="L80" s="276"/>
      <c r="M80" s="335">
        <f>O78-O79</f>
        <v>116412</v>
      </c>
      <c r="N80" s="276"/>
      <c r="O80" s="331">
        <f t="shared" si="43"/>
        <v>116412</v>
      </c>
      <c r="P80" s="275"/>
      <c r="Q80" s="315"/>
      <c r="R80" s="24"/>
      <c r="S80" s="24"/>
      <c r="T80" s="24"/>
      <c r="U80" s="24"/>
      <c r="V80" s="24"/>
      <c r="W80" s="24"/>
    </row>
    <row r="81" spans="1:23" ht="15" customHeight="1" x14ac:dyDescent="0.2">
      <c r="A81" s="18">
        <v>11</v>
      </c>
      <c r="B81" s="448" t="s">
        <v>146</v>
      </c>
      <c r="C81" s="275"/>
      <c r="D81" s="275"/>
      <c r="E81" s="275"/>
      <c r="F81" s="275"/>
      <c r="G81" s="275"/>
      <c r="H81" s="275"/>
      <c r="I81" s="275"/>
      <c r="J81" s="275"/>
      <c r="K81" s="275"/>
      <c r="L81" s="276"/>
      <c r="M81" s="335">
        <f>ROUND((O80*0.04),0)</f>
        <v>4656</v>
      </c>
      <c r="N81" s="276"/>
      <c r="O81" s="331"/>
      <c r="P81" s="275"/>
      <c r="Q81" s="315"/>
      <c r="R81" s="24"/>
      <c r="S81" s="24"/>
      <c r="T81" s="24"/>
      <c r="U81" s="24"/>
      <c r="V81" s="24"/>
      <c r="W81" s="24"/>
    </row>
    <row r="82" spans="1:23" ht="15" customHeight="1" x14ac:dyDescent="0.2">
      <c r="A82" s="18">
        <v>12</v>
      </c>
      <c r="B82" s="338" t="s">
        <v>220</v>
      </c>
      <c r="C82" s="275"/>
      <c r="D82" s="275"/>
      <c r="E82" s="275"/>
      <c r="F82" s="275"/>
      <c r="G82" s="275"/>
      <c r="H82" s="275"/>
      <c r="I82" s="275"/>
      <c r="J82" s="275"/>
      <c r="K82" s="275"/>
      <c r="L82" s="276"/>
      <c r="M82" s="335">
        <f>SUM(M80:M81)</f>
        <v>121068</v>
      </c>
      <c r="N82" s="276"/>
      <c r="O82" s="331">
        <f>ROUNDUP(M82,0-1)</f>
        <v>121070</v>
      </c>
      <c r="P82" s="275"/>
      <c r="Q82" s="315"/>
      <c r="R82" s="24"/>
      <c r="S82" s="24"/>
      <c r="T82" s="24"/>
      <c r="U82" s="24"/>
      <c r="V82" s="24"/>
      <c r="W82" s="24"/>
    </row>
    <row r="83" spans="1:23" ht="15" customHeight="1" x14ac:dyDescent="0.2">
      <c r="A83" s="18">
        <v>13</v>
      </c>
      <c r="B83" s="449" t="s">
        <v>148</v>
      </c>
      <c r="C83" s="275"/>
      <c r="D83" s="275"/>
      <c r="E83" s="275"/>
      <c r="F83" s="275"/>
      <c r="G83" s="275"/>
      <c r="H83" s="275"/>
      <c r="I83" s="275"/>
      <c r="J83" s="275"/>
      <c r="K83" s="275"/>
      <c r="L83" s="276"/>
      <c r="M83" s="335">
        <v>0</v>
      </c>
      <c r="N83" s="276"/>
      <c r="O83" s="331">
        <v>0</v>
      </c>
      <c r="P83" s="275"/>
      <c r="Q83" s="315"/>
      <c r="R83" s="24"/>
      <c r="S83" s="24"/>
      <c r="T83" s="24"/>
      <c r="U83" s="24"/>
      <c r="V83" s="24"/>
      <c r="W83" s="24"/>
    </row>
    <row r="84" spans="1:23" ht="15" customHeight="1" x14ac:dyDescent="0.2">
      <c r="A84" s="18">
        <v>14</v>
      </c>
      <c r="B84" s="450" t="s">
        <v>149</v>
      </c>
      <c r="C84" s="275"/>
      <c r="D84" s="275"/>
      <c r="E84" s="275"/>
      <c r="F84" s="421"/>
      <c r="G84" s="275"/>
      <c r="H84" s="275"/>
      <c r="I84" s="275"/>
      <c r="J84" s="275"/>
      <c r="K84" s="275"/>
      <c r="L84" s="59"/>
      <c r="M84" s="335"/>
      <c r="N84" s="276"/>
      <c r="O84" s="331">
        <f>O82-O83</f>
        <v>121070</v>
      </c>
      <c r="P84" s="275"/>
      <c r="Q84" s="315"/>
      <c r="R84" s="24"/>
      <c r="S84" s="24"/>
      <c r="T84" s="24"/>
      <c r="U84" s="24"/>
      <c r="V84" s="24"/>
      <c r="W84" s="24"/>
    </row>
    <row r="85" spans="1:23" ht="15" customHeight="1" x14ac:dyDescent="0.2">
      <c r="A85" s="20">
        <v>15</v>
      </c>
      <c r="B85" s="449" t="s">
        <v>150</v>
      </c>
      <c r="C85" s="275"/>
      <c r="D85" s="275"/>
      <c r="E85" s="275"/>
      <c r="F85" s="275"/>
      <c r="G85" s="275"/>
      <c r="H85" s="275"/>
      <c r="I85" s="275"/>
      <c r="J85" s="275"/>
      <c r="K85" s="275"/>
      <c r="L85" s="276"/>
      <c r="M85" s="335">
        <f>Q6+Q7+Q8+Q9+Q10+Q11+Q12+Q13+Q14</f>
        <v>54000</v>
      </c>
      <c r="N85" s="276"/>
      <c r="O85" s="333"/>
      <c r="P85" s="275"/>
      <c r="Q85" s="276"/>
      <c r="R85" s="24"/>
      <c r="S85" s="24"/>
      <c r="T85" s="24"/>
      <c r="U85" s="24"/>
      <c r="V85" s="24"/>
      <c r="W85" s="24"/>
    </row>
    <row r="86" spans="1:23" ht="15" customHeight="1" x14ac:dyDescent="0.2">
      <c r="A86" s="20">
        <v>16</v>
      </c>
      <c r="B86" s="449" t="s">
        <v>151</v>
      </c>
      <c r="C86" s="275"/>
      <c r="D86" s="275"/>
      <c r="E86" s="275"/>
      <c r="F86" s="275"/>
      <c r="G86" s="275"/>
      <c r="H86" s="275"/>
      <c r="I86" s="275"/>
      <c r="J86" s="275"/>
      <c r="K86" s="275"/>
      <c r="L86" s="276"/>
      <c r="M86" s="335">
        <f>IF(O84&lt;M85,0,ROUND((O84-M85)/3,-2))</f>
        <v>22400</v>
      </c>
      <c r="N86" s="276"/>
      <c r="O86" s="333"/>
      <c r="P86" s="275"/>
      <c r="Q86" s="276"/>
      <c r="R86" s="24"/>
      <c r="S86" s="24"/>
      <c r="T86" s="24"/>
      <c r="U86" s="24"/>
      <c r="V86" s="24"/>
      <c r="W86" s="24"/>
    </row>
    <row r="87" spans="1:23" ht="15" customHeight="1" x14ac:dyDescent="0.2">
      <c r="A87" s="20">
        <v>17</v>
      </c>
      <c r="B87" s="449" t="s">
        <v>152</v>
      </c>
      <c r="C87" s="275"/>
      <c r="D87" s="275"/>
      <c r="E87" s="275"/>
      <c r="F87" s="275"/>
      <c r="G87" s="275"/>
      <c r="H87" s="275"/>
      <c r="I87" s="275"/>
      <c r="J87" s="275"/>
      <c r="K87" s="275"/>
      <c r="L87" s="276"/>
      <c r="M87" s="335">
        <f>IF(O84&lt;M85,0,ROUND((O84-M85)/3,-2))</f>
        <v>22400</v>
      </c>
      <c r="N87" s="276"/>
      <c r="O87" s="333"/>
      <c r="P87" s="275"/>
      <c r="Q87" s="276"/>
      <c r="R87" s="24"/>
      <c r="S87" s="24"/>
      <c r="T87" s="24"/>
      <c r="U87" s="24"/>
      <c r="V87" s="24"/>
      <c r="W87" s="24"/>
    </row>
    <row r="88" spans="1:23" ht="15" customHeight="1" x14ac:dyDescent="0.2">
      <c r="A88" s="20">
        <v>18</v>
      </c>
      <c r="B88" s="449" t="s">
        <v>153</v>
      </c>
      <c r="C88" s="275"/>
      <c r="D88" s="275"/>
      <c r="E88" s="275"/>
      <c r="F88" s="275"/>
      <c r="G88" s="275"/>
      <c r="H88" s="275"/>
      <c r="I88" s="275"/>
      <c r="J88" s="275"/>
      <c r="K88" s="275"/>
      <c r="L88" s="276"/>
      <c r="M88" s="335">
        <f>IF(O84&lt;M85,0,(O84-(M85+M86+M87)))</f>
        <v>22270</v>
      </c>
      <c r="N88" s="276"/>
      <c r="O88" s="333"/>
      <c r="P88" s="275"/>
      <c r="Q88" s="276"/>
      <c r="R88" s="24"/>
      <c r="S88" s="24"/>
      <c r="T88" s="24"/>
      <c r="U88" s="24"/>
      <c r="V88" s="24"/>
      <c r="W88" s="24"/>
    </row>
    <row r="89" spans="1:23" ht="15" customHeight="1" x14ac:dyDescent="0.2">
      <c r="A89" s="20"/>
      <c r="B89" s="357" t="s">
        <v>221</v>
      </c>
      <c r="C89" s="275"/>
      <c r="D89" s="275"/>
      <c r="E89" s="275"/>
      <c r="F89" s="275"/>
      <c r="G89" s="275"/>
      <c r="H89" s="275"/>
      <c r="I89" s="275"/>
      <c r="J89" s="275"/>
      <c r="K89" s="275"/>
      <c r="L89" s="276"/>
      <c r="M89" s="335">
        <f>SUM(M85:M88)</f>
        <v>121070</v>
      </c>
      <c r="N89" s="276"/>
      <c r="O89" s="331">
        <f>M89</f>
        <v>121070</v>
      </c>
      <c r="P89" s="275"/>
      <c r="Q89" s="276"/>
      <c r="R89" s="24"/>
      <c r="S89" s="24"/>
      <c r="T89" s="24"/>
      <c r="U89" s="24"/>
      <c r="V89" s="24"/>
      <c r="W89" s="24"/>
    </row>
    <row r="90" spans="1:23" ht="17.25" customHeight="1" x14ac:dyDescent="0.2">
      <c r="A90" s="374" t="s">
        <v>222</v>
      </c>
      <c r="B90" s="362"/>
      <c r="C90" s="362"/>
      <c r="D90" s="362"/>
      <c r="E90" s="362"/>
      <c r="F90" s="362"/>
      <c r="G90" s="362"/>
      <c r="H90" s="362"/>
      <c r="I90" s="362"/>
      <c r="J90" s="362"/>
      <c r="K90" s="362"/>
      <c r="L90" s="362"/>
      <c r="M90" s="362"/>
      <c r="N90" s="362"/>
      <c r="O90" s="362"/>
      <c r="P90" s="362"/>
      <c r="Q90" s="362"/>
      <c r="R90" s="24"/>
      <c r="S90" s="24"/>
      <c r="T90" s="24"/>
      <c r="U90" s="24"/>
      <c r="V90" s="24"/>
      <c r="W90" s="24"/>
    </row>
    <row r="91" spans="1:23" ht="16.5" customHeight="1" x14ac:dyDescent="0.2">
      <c r="A91" s="38" t="s">
        <v>157</v>
      </c>
      <c r="B91" s="363" t="str">
        <f>DATA!E6</f>
        <v xml:space="preserve">KADJODARA </v>
      </c>
      <c r="C91" s="362"/>
      <c r="D91" s="362"/>
      <c r="E91" s="362"/>
      <c r="F91" s="39"/>
      <c r="G91" s="39"/>
      <c r="H91" s="39"/>
      <c r="I91" s="39"/>
      <c r="J91" s="39"/>
      <c r="K91" s="39"/>
      <c r="L91" s="39"/>
      <c r="M91" s="361"/>
      <c r="N91" s="362"/>
      <c r="O91" s="362"/>
      <c r="P91" s="362"/>
      <c r="Q91" s="362"/>
      <c r="R91" s="24"/>
      <c r="S91" s="24"/>
      <c r="T91" s="24"/>
      <c r="U91" s="24"/>
      <c r="V91" s="24"/>
      <c r="W91" s="24"/>
    </row>
    <row r="92" spans="1:23" ht="15" customHeight="1" x14ac:dyDescent="0.2">
      <c r="A92" s="38" t="s">
        <v>158</v>
      </c>
      <c r="B92" s="364">
        <f ca="1">TODAY()</f>
        <v>46000</v>
      </c>
      <c r="C92" s="362"/>
      <c r="D92" s="362"/>
      <c r="E92" s="40" t="s">
        <v>159</v>
      </c>
      <c r="F92" s="363" t="s">
        <v>160</v>
      </c>
      <c r="G92" s="362"/>
      <c r="H92" s="362"/>
      <c r="I92" s="362"/>
      <c r="J92" s="362"/>
      <c r="K92" s="362"/>
      <c r="L92" s="39"/>
      <c r="M92" s="361" t="s">
        <v>161</v>
      </c>
      <c r="N92" s="362"/>
      <c r="O92" s="362"/>
      <c r="P92" s="362"/>
      <c r="Q92" s="362"/>
      <c r="R92" s="24"/>
      <c r="S92" s="24"/>
      <c r="T92" s="24"/>
      <c r="U92" s="24"/>
      <c r="V92" s="24"/>
      <c r="W92" s="24"/>
    </row>
    <row r="93" spans="1:23" ht="24" customHeight="1" x14ac:dyDescent="0.2">
      <c r="A93" s="365" t="s">
        <v>162</v>
      </c>
      <c r="B93" s="362"/>
      <c r="C93" s="362"/>
      <c r="D93" s="362"/>
      <c r="E93" s="362"/>
      <c r="F93" s="362"/>
      <c r="G93" s="362"/>
      <c r="H93" s="362"/>
      <c r="I93" s="362"/>
      <c r="J93" s="362"/>
      <c r="K93" s="362"/>
      <c r="L93" s="362"/>
      <c r="M93" s="362"/>
      <c r="N93" s="362"/>
      <c r="O93" s="362"/>
      <c r="P93" s="362"/>
      <c r="Q93" s="362"/>
      <c r="R93" s="24"/>
      <c r="S93" s="24"/>
      <c r="T93" s="24"/>
      <c r="U93" s="24"/>
      <c r="V93" s="24"/>
      <c r="W93" s="24"/>
    </row>
    <row r="94" spans="1:23" ht="20.25" customHeight="1" x14ac:dyDescent="0.2">
      <c r="A94" s="398" t="s">
        <v>163</v>
      </c>
      <c r="B94" s="291"/>
      <c r="C94" s="397" t="s">
        <v>164</v>
      </c>
      <c r="D94" s="395" t="s">
        <v>165</v>
      </c>
      <c r="E94" s="275"/>
      <c r="F94" s="275"/>
      <c r="G94" s="275"/>
      <c r="H94" s="275"/>
      <c r="I94" s="275"/>
      <c r="J94" s="275"/>
      <c r="K94" s="275"/>
      <c r="L94" s="275"/>
      <c r="M94" s="275"/>
      <c r="N94" s="275"/>
      <c r="O94" s="275"/>
      <c r="P94" s="275"/>
      <c r="Q94" s="276"/>
      <c r="R94" s="24"/>
      <c r="S94" s="24"/>
      <c r="T94" s="24"/>
      <c r="U94" s="24"/>
      <c r="V94" s="24"/>
      <c r="W94" s="24"/>
    </row>
    <row r="95" spans="1:23" ht="43.5" customHeight="1" x14ac:dyDescent="0.2">
      <c r="A95" s="286"/>
      <c r="B95" s="292"/>
      <c r="C95" s="283"/>
      <c r="D95" s="41" t="s">
        <v>166</v>
      </c>
      <c r="E95" s="42" t="s">
        <v>167</v>
      </c>
      <c r="F95" s="313" t="s">
        <v>168</v>
      </c>
      <c r="G95" s="276"/>
      <c r="H95" s="42"/>
      <c r="I95" s="42"/>
      <c r="J95" s="313" t="s">
        <v>74</v>
      </c>
      <c r="K95" s="276"/>
      <c r="L95" s="313" t="s">
        <v>169</v>
      </c>
      <c r="M95" s="276"/>
      <c r="N95" s="313" t="s">
        <v>170</v>
      </c>
      <c r="O95" s="276"/>
      <c r="P95" s="422" t="s">
        <v>223</v>
      </c>
      <c r="Q95" s="276"/>
      <c r="R95" s="24"/>
      <c r="S95" s="24"/>
      <c r="T95" s="24"/>
      <c r="U95" s="24"/>
      <c r="V95" s="24"/>
      <c r="W95" s="24"/>
    </row>
    <row r="96" spans="1:23" ht="21" customHeight="1" x14ac:dyDescent="0.2">
      <c r="A96" s="332" t="s">
        <v>224</v>
      </c>
      <c r="B96" s="276"/>
      <c r="C96" s="43">
        <f t="shared" ref="C96:C107" si="44">K6</f>
        <v>97163</v>
      </c>
      <c r="D96" s="44">
        <v>0</v>
      </c>
      <c r="E96" s="45">
        <f>L6</f>
        <v>20000</v>
      </c>
      <c r="F96" s="330">
        <f>O6</f>
        <v>0</v>
      </c>
      <c r="G96" s="276"/>
      <c r="H96" s="46"/>
      <c r="I96" s="46"/>
      <c r="J96" s="330">
        <f t="shared" ref="J96:J107" si="45">N6</f>
        <v>200</v>
      </c>
      <c r="K96" s="276"/>
      <c r="L96" s="330">
        <f t="shared" ref="L96:L107" si="46">M6</f>
        <v>800</v>
      </c>
      <c r="M96" s="276"/>
      <c r="N96" s="330">
        <v>0</v>
      </c>
      <c r="O96" s="276"/>
      <c r="P96" s="330">
        <f t="shared" ref="P96:P107" si="47">Q6</f>
        <v>6000</v>
      </c>
      <c r="Q96" s="276"/>
      <c r="R96" s="24"/>
      <c r="S96" s="24"/>
      <c r="T96" s="24"/>
      <c r="U96" s="24"/>
      <c r="V96" s="24"/>
      <c r="W96" s="24"/>
    </row>
    <row r="97" spans="1:23" ht="21" customHeight="1" x14ac:dyDescent="0.2">
      <c r="A97" s="332" t="s">
        <v>225</v>
      </c>
      <c r="B97" s="276"/>
      <c r="C97" s="43">
        <f t="shared" si="44"/>
        <v>97163</v>
      </c>
      <c r="D97" s="44">
        <v>0</v>
      </c>
      <c r="E97" s="45">
        <f t="shared" ref="E97:F97" si="48">E96</f>
        <v>20000</v>
      </c>
      <c r="F97" s="330">
        <f t="shared" si="48"/>
        <v>0</v>
      </c>
      <c r="G97" s="276"/>
      <c r="H97" s="46"/>
      <c r="I97" s="46"/>
      <c r="J97" s="330">
        <f t="shared" si="45"/>
        <v>200</v>
      </c>
      <c r="K97" s="276"/>
      <c r="L97" s="330">
        <f t="shared" si="46"/>
        <v>800</v>
      </c>
      <c r="M97" s="276"/>
      <c r="N97" s="330">
        <v>0</v>
      </c>
      <c r="O97" s="276"/>
      <c r="P97" s="330">
        <f t="shared" si="47"/>
        <v>6000</v>
      </c>
      <c r="Q97" s="276"/>
      <c r="R97" s="24"/>
      <c r="S97" s="24"/>
      <c r="T97" s="24"/>
      <c r="U97" s="24"/>
      <c r="V97" s="24"/>
      <c r="W97" s="24"/>
    </row>
    <row r="98" spans="1:23" ht="21" customHeight="1" x14ac:dyDescent="0.2">
      <c r="A98" s="332" t="s">
        <v>226</v>
      </c>
      <c r="B98" s="276"/>
      <c r="C98" s="43">
        <f t="shared" si="44"/>
        <v>97163</v>
      </c>
      <c r="D98" s="44">
        <v>0</v>
      </c>
      <c r="E98" s="45">
        <f t="shared" ref="E98:F98" si="49">E97</f>
        <v>20000</v>
      </c>
      <c r="F98" s="330">
        <f t="shared" si="49"/>
        <v>0</v>
      </c>
      <c r="G98" s="276"/>
      <c r="H98" s="46"/>
      <c r="I98" s="46"/>
      <c r="J98" s="330">
        <f t="shared" si="45"/>
        <v>200</v>
      </c>
      <c r="K98" s="276"/>
      <c r="L98" s="330">
        <f t="shared" si="46"/>
        <v>800</v>
      </c>
      <c r="M98" s="276"/>
      <c r="N98" s="330">
        <v>0</v>
      </c>
      <c r="O98" s="276"/>
      <c r="P98" s="330">
        <f t="shared" si="47"/>
        <v>6000</v>
      </c>
      <c r="Q98" s="276"/>
      <c r="R98" s="24"/>
      <c r="S98" s="24"/>
      <c r="T98" s="24"/>
      <c r="U98" s="24"/>
      <c r="V98" s="24"/>
      <c r="W98" s="24"/>
    </row>
    <row r="99" spans="1:23" ht="21" customHeight="1" x14ac:dyDescent="0.2">
      <c r="A99" s="332" t="s">
        <v>227</v>
      </c>
      <c r="B99" s="276"/>
      <c r="C99" s="43">
        <f t="shared" si="44"/>
        <v>97163</v>
      </c>
      <c r="D99" s="44">
        <v>0</v>
      </c>
      <c r="E99" s="45">
        <f t="shared" ref="E99:F99" si="50">E98</f>
        <v>20000</v>
      </c>
      <c r="F99" s="330">
        <f t="shared" si="50"/>
        <v>0</v>
      </c>
      <c r="G99" s="276"/>
      <c r="H99" s="46"/>
      <c r="I99" s="46"/>
      <c r="J99" s="330">
        <f t="shared" si="45"/>
        <v>200</v>
      </c>
      <c r="K99" s="276"/>
      <c r="L99" s="330">
        <f t="shared" si="46"/>
        <v>800</v>
      </c>
      <c r="M99" s="276"/>
      <c r="N99" s="330">
        <v>0</v>
      </c>
      <c r="O99" s="276"/>
      <c r="P99" s="330">
        <f t="shared" si="47"/>
        <v>6000</v>
      </c>
      <c r="Q99" s="276"/>
      <c r="R99" s="24"/>
      <c r="S99" s="24"/>
      <c r="T99" s="24"/>
      <c r="U99" s="24"/>
      <c r="V99" s="24"/>
      <c r="W99" s="24"/>
    </row>
    <row r="100" spans="1:23" ht="21" customHeight="1" x14ac:dyDescent="0.2">
      <c r="A100" s="332" t="s">
        <v>228</v>
      </c>
      <c r="B100" s="276"/>
      <c r="C100" s="43">
        <f t="shared" si="44"/>
        <v>102653</v>
      </c>
      <c r="D100" s="44">
        <v>0</v>
      </c>
      <c r="E100" s="45">
        <f t="shared" ref="E100:F100" si="51">E99</f>
        <v>20000</v>
      </c>
      <c r="F100" s="330">
        <f t="shared" si="51"/>
        <v>0</v>
      </c>
      <c r="G100" s="276"/>
      <c r="H100" s="46"/>
      <c r="I100" s="46"/>
      <c r="J100" s="330">
        <f t="shared" si="45"/>
        <v>200</v>
      </c>
      <c r="K100" s="276"/>
      <c r="L100" s="330">
        <f t="shared" si="46"/>
        <v>800</v>
      </c>
      <c r="M100" s="276"/>
      <c r="N100" s="330">
        <v>0</v>
      </c>
      <c r="O100" s="276"/>
      <c r="P100" s="330">
        <f t="shared" si="47"/>
        <v>6000</v>
      </c>
      <c r="Q100" s="276"/>
      <c r="R100" s="24"/>
      <c r="S100" s="24"/>
      <c r="T100" s="24"/>
      <c r="U100" s="24"/>
      <c r="V100" s="24"/>
      <c r="W100" s="24"/>
    </row>
    <row r="101" spans="1:23" ht="21" customHeight="1" x14ac:dyDescent="0.2">
      <c r="A101" s="332" t="s">
        <v>229</v>
      </c>
      <c r="B101" s="276"/>
      <c r="C101" s="43">
        <f t="shared" si="44"/>
        <v>102653</v>
      </c>
      <c r="D101" s="44">
        <v>0</v>
      </c>
      <c r="E101" s="45">
        <f t="shared" ref="E101:F101" si="52">E100</f>
        <v>20000</v>
      </c>
      <c r="F101" s="330">
        <f t="shared" si="52"/>
        <v>0</v>
      </c>
      <c r="G101" s="276"/>
      <c r="H101" s="46"/>
      <c r="I101" s="46"/>
      <c r="J101" s="330">
        <f t="shared" si="45"/>
        <v>200</v>
      </c>
      <c r="K101" s="276"/>
      <c r="L101" s="330">
        <f t="shared" si="46"/>
        <v>800</v>
      </c>
      <c r="M101" s="276"/>
      <c r="N101" s="330">
        <v>0</v>
      </c>
      <c r="O101" s="276"/>
      <c r="P101" s="330">
        <f t="shared" si="47"/>
        <v>6000</v>
      </c>
      <c r="Q101" s="276"/>
      <c r="R101" s="24"/>
      <c r="S101" s="24"/>
      <c r="T101" s="24"/>
      <c r="U101" s="24"/>
      <c r="V101" s="24"/>
      <c r="W101" s="24"/>
    </row>
    <row r="102" spans="1:23" ht="21" customHeight="1" x14ac:dyDescent="0.2">
      <c r="A102" s="332" t="s">
        <v>230</v>
      </c>
      <c r="B102" s="276"/>
      <c r="C102" s="43">
        <f t="shared" si="44"/>
        <v>102653</v>
      </c>
      <c r="D102" s="44">
        <v>0</v>
      </c>
      <c r="E102" s="45">
        <f t="shared" ref="E102:F102" si="53">E101</f>
        <v>20000</v>
      </c>
      <c r="F102" s="330">
        <f t="shared" si="53"/>
        <v>0</v>
      </c>
      <c r="G102" s="276"/>
      <c r="H102" s="46"/>
      <c r="I102" s="46"/>
      <c r="J102" s="330">
        <f t="shared" si="45"/>
        <v>200</v>
      </c>
      <c r="K102" s="276"/>
      <c r="L102" s="330">
        <f t="shared" si="46"/>
        <v>800</v>
      </c>
      <c r="M102" s="276"/>
      <c r="N102" s="330">
        <v>0</v>
      </c>
      <c r="O102" s="276"/>
      <c r="P102" s="330">
        <f t="shared" si="47"/>
        <v>6000</v>
      </c>
      <c r="Q102" s="276"/>
      <c r="R102" s="24"/>
      <c r="S102" s="24"/>
      <c r="T102" s="24"/>
      <c r="U102" s="24"/>
      <c r="V102" s="24"/>
      <c r="W102" s="24"/>
    </row>
    <row r="103" spans="1:23" ht="21" customHeight="1" x14ac:dyDescent="0.2">
      <c r="A103" s="332" t="s">
        <v>231</v>
      </c>
      <c r="B103" s="276"/>
      <c r="C103" s="43">
        <f t="shared" si="44"/>
        <v>102653</v>
      </c>
      <c r="D103" s="44">
        <v>0</v>
      </c>
      <c r="E103" s="45">
        <f t="shared" ref="E103:F103" si="54">E102</f>
        <v>20000</v>
      </c>
      <c r="F103" s="330">
        <f t="shared" si="54"/>
        <v>0</v>
      </c>
      <c r="G103" s="276"/>
      <c r="H103" s="46"/>
      <c r="I103" s="46"/>
      <c r="J103" s="330">
        <f t="shared" si="45"/>
        <v>200</v>
      </c>
      <c r="K103" s="276"/>
      <c r="L103" s="330">
        <f t="shared" si="46"/>
        <v>800</v>
      </c>
      <c r="M103" s="276"/>
      <c r="N103" s="330">
        <v>0</v>
      </c>
      <c r="O103" s="276"/>
      <c r="P103" s="330">
        <f t="shared" si="47"/>
        <v>6000</v>
      </c>
      <c r="Q103" s="276"/>
      <c r="R103" s="24"/>
      <c r="S103" s="24"/>
      <c r="T103" s="24"/>
      <c r="U103" s="24"/>
      <c r="V103" s="24"/>
      <c r="W103" s="24"/>
    </row>
    <row r="104" spans="1:23" ht="21" customHeight="1" x14ac:dyDescent="0.2">
      <c r="A104" s="332" t="s">
        <v>232</v>
      </c>
      <c r="B104" s="276"/>
      <c r="C104" s="43">
        <f t="shared" si="44"/>
        <v>102653</v>
      </c>
      <c r="D104" s="44">
        <v>0</v>
      </c>
      <c r="E104" s="45">
        <f t="shared" ref="E104:F104" si="55">E103</f>
        <v>20000</v>
      </c>
      <c r="F104" s="330">
        <f t="shared" si="55"/>
        <v>0</v>
      </c>
      <c r="G104" s="276"/>
      <c r="H104" s="46"/>
      <c r="I104" s="46"/>
      <c r="J104" s="330">
        <f t="shared" si="45"/>
        <v>200</v>
      </c>
      <c r="K104" s="276"/>
      <c r="L104" s="330">
        <f t="shared" si="46"/>
        <v>800</v>
      </c>
      <c r="M104" s="276"/>
      <c r="N104" s="330">
        <v>0</v>
      </c>
      <c r="O104" s="276"/>
      <c r="P104" s="330">
        <f t="shared" si="47"/>
        <v>6000</v>
      </c>
      <c r="Q104" s="276"/>
      <c r="R104" s="24"/>
      <c r="S104" s="24"/>
      <c r="T104" s="24"/>
      <c r="U104" s="24"/>
      <c r="V104" s="24"/>
      <c r="W104" s="24"/>
    </row>
    <row r="105" spans="1:23" ht="21" customHeight="1" x14ac:dyDescent="0.2">
      <c r="A105" s="332" t="s">
        <v>233</v>
      </c>
      <c r="B105" s="276"/>
      <c r="C105" s="43">
        <f t="shared" si="44"/>
        <v>102653</v>
      </c>
      <c r="D105" s="44">
        <v>0</v>
      </c>
      <c r="E105" s="45">
        <f t="shared" ref="E105:F105" si="56">E104</f>
        <v>20000</v>
      </c>
      <c r="F105" s="330">
        <f t="shared" si="56"/>
        <v>0</v>
      </c>
      <c r="G105" s="276"/>
      <c r="H105" s="46"/>
      <c r="I105" s="46"/>
      <c r="J105" s="330">
        <f t="shared" si="45"/>
        <v>200</v>
      </c>
      <c r="K105" s="276"/>
      <c r="L105" s="330">
        <f t="shared" si="46"/>
        <v>800</v>
      </c>
      <c r="M105" s="276"/>
      <c r="N105" s="330">
        <v>0</v>
      </c>
      <c r="O105" s="276"/>
      <c r="P105" s="330">
        <f t="shared" si="47"/>
        <v>22400</v>
      </c>
      <c r="Q105" s="276"/>
      <c r="R105" s="24"/>
      <c r="S105" s="24"/>
      <c r="T105" s="24"/>
      <c r="U105" s="24"/>
      <c r="V105" s="24"/>
      <c r="W105" s="24"/>
    </row>
    <row r="106" spans="1:23" ht="21" customHeight="1" x14ac:dyDescent="0.2">
      <c r="A106" s="332" t="s">
        <v>234</v>
      </c>
      <c r="B106" s="276"/>
      <c r="C106" s="43">
        <f t="shared" si="44"/>
        <v>102653</v>
      </c>
      <c r="D106" s="44">
        <v>0</v>
      </c>
      <c r="E106" s="45">
        <f t="shared" ref="E106:F106" si="57">E105</f>
        <v>20000</v>
      </c>
      <c r="F106" s="330">
        <f t="shared" si="57"/>
        <v>0</v>
      </c>
      <c r="G106" s="276"/>
      <c r="H106" s="46"/>
      <c r="I106" s="46"/>
      <c r="J106" s="330">
        <f t="shared" si="45"/>
        <v>200</v>
      </c>
      <c r="K106" s="276"/>
      <c r="L106" s="330">
        <f t="shared" si="46"/>
        <v>800</v>
      </c>
      <c r="M106" s="276"/>
      <c r="N106" s="330">
        <v>0</v>
      </c>
      <c r="O106" s="276"/>
      <c r="P106" s="330">
        <f t="shared" si="47"/>
        <v>22400</v>
      </c>
      <c r="Q106" s="276"/>
      <c r="R106" s="24"/>
      <c r="S106" s="24"/>
      <c r="T106" s="24"/>
      <c r="U106" s="24"/>
      <c r="V106" s="24"/>
      <c r="W106" s="24"/>
    </row>
    <row r="107" spans="1:23" ht="21" customHeight="1" x14ac:dyDescent="0.2">
      <c r="A107" s="332" t="s">
        <v>235</v>
      </c>
      <c r="B107" s="276"/>
      <c r="C107" s="43">
        <f t="shared" si="44"/>
        <v>102653</v>
      </c>
      <c r="D107" s="44">
        <v>0</v>
      </c>
      <c r="E107" s="45">
        <f t="shared" ref="E107:F107" si="58">E106</f>
        <v>20000</v>
      </c>
      <c r="F107" s="330">
        <f t="shared" si="58"/>
        <v>0</v>
      </c>
      <c r="G107" s="276"/>
      <c r="H107" s="46"/>
      <c r="I107" s="46"/>
      <c r="J107" s="330">
        <f t="shared" si="45"/>
        <v>200</v>
      </c>
      <c r="K107" s="276"/>
      <c r="L107" s="330">
        <f t="shared" si="46"/>
        <v>800</v>
      </c>
      <c r="M107" s="276"/>
      <c r="N107" s="330">
        <v>0</v>
      </c>
      <c r="O107" s="276"/>
      <c r="P107" s="330">
        <f t="shared" si="47"/>
        <v>22270</v>
      </c>
      <c r="Q107" s="276"/>
      <c r="R107" s="24"/>
      <c r="S107" s="24"/>
      <c r="T107" s="24"/>
      <c r="U107" s="24"/>
      <c r="V107" s="24"/>
      <c r="W107" s="24"/>
    </row>
    <row r="108" spans="1:23" ht="21" customHeight="1" x14ac:dyDescent="0.2">
      <c r="A108" s="368" t="str">
        <f>DATA!B16</f>
        <v>મોં.પુરવણી 1/01/2025 થી 31/03/2025</v>
      </c>
      <c r="B108" s="276"/>
      <c r="C108" s="47">
        <f t="shared" ref="C108:C116" si="59">D19</f>
        <v>12440</v>
      </c>
      <c r="D108" s="48"/>
      <c r="E108" s="49"/>
      <c r="F108" s="330"/>
      <c r="G108" s="276"/>
      <c r="H108" s="46"/>
      <c r="I108" s="46"/>
      <c r="J108" s="330"/>
      <c r="K108" s="276"/>
      <c r="L108" s="330"/>
      <c r="M108" s="276"/>
      <c r="N108" s="330"/>
      <c r="O108" s="276"/>
      <c r="P108" s="330"/>
      <c r="Q108" s="276"/>
      <c r="R108" s="24"/>
      <c r="S108" s="24"/>
      <c r="T108" s="24"/>
      <c r="U108" s="24"/>
      <c r="V108" s="24"/>
      <c r="W108" s="24"/>
    </row>
    <row r="109" spans="1:23" ht="21" customHeight="1" x14ac:dyDescent="0.2">
      <c r="A109" s="368" t="str">
        <f>DATA!B17</f>
        <v>મોં.પુરવણી 1/07/2025 થી 30/09/2025</v>
      </c>
      <c r="B109" s="276"/>
      <c r="C109" s="47">
        <f t="shared" si="59"/>
        <v>14928</v>
      </c>
      <c r="D109" s="48"/>
      <c r="E109" s="49"/>
      <c r="F109" s="330"/>
      <c r="G109" s="276"/>
      <c r="H109" s="46"/>
      <c r="I109" s="46"/>
      <c r="J109" s="330"/>
      <c r="K109" s="276"/>
      <c r="L109" s="330"/>
      <c r="M109" s="276"/>
      <c r="N109" s="330"/>
      <c r="O109" s="276"/>
      <c r="P109" s="330"/>
      <c r="Q109" s="276"/>
      <c r="R109" s="24"/>
      <c r="S109" s="24"/>
      <c r="T109" s="24"/>
      <c r="U109" s="24"/>
      <c r="V109" s="24"/>
      <c r="W109" s="24"/>
    </row>
    <row r="110" spans="1:23" ht="21" customHeight="1" x14ac:dyDescent="0.2">
      <c r="A110" s="368" t="e">
        <f>DATA!#REF!</f>
        <v>#REF!</v>
      </c>
      <c r="B110" s="276"/>
      <c r="C110" s="47">
        <f t="shared" si="59"/>
        <v>0</v>
      </c>
      <c r="D110" s="48"/>
      <c r="E110" s="49"/>
      <c r="F110" s="330"/>
      <c r="G110" s="276"/>
      <c r="H110" s="46"/>
      <c r="I110" s="46"/>
      <c r="J110" s="330"/>
      <c r="K110" s="276"/>
      <c r="L110" s="330"/>
      <c r="M110" s="276"/>
      <c r="N110" s="330"/>
      <c r="O110" s="276"/>
      <c r="P110" s="330"/>
      <c r="Q110" s="276"/>
      <c r="R110" s="24"/>
      <c r="S110" s="24"/>
      <c r="T110" s="24"/>
      <c r="U110" s="24"/>
      <c r="V110" s="24"/>
      <c r="W110" s="24"/>
    </row>
    <row r="111" spans="1:23" ht="21" customHeight="1" x14ac:dyDescent="0.2">
      <c r="A111" s="368" t="str">
        <f>DATA!B18</f>
        <v>ઉચ્ચતર પુરવાણી ૧</v>
      </c>
      <c r="B111" s="276"/>
      <c r="C111" s="47">
        <f t="shared" si="59"/>
        <v>0</v>
      </c>
      <c r="D111" s="48"/>
      <c r="E111" s="49"/>
      <c r="F111" s="330"/>
      <c r="G111" s="276"/>
      <c r="H111" s="46"/>
      <c r="I111" s="46"/>
      <c r="J111" s="330"/>
      <c r="K111" s="276"/>
      <c r="L111" s="330"/>
      <c r="M111" s="276"/>
      <c r="N111" s="330"/>
      <c r="O111" s="276"/>
      <c r="P111" s="330"/>
      <c r="Q111" s="276"/>
      <c r="R111" s="24"/>
      <c r="S111" s="24"/>
      <c r="T111" s="24"/>
      <c r="U111" s="24"/>
      <c r="V111" s="24"/>
      <c r="W111" s="24"/>
    </row>
    <row r="112" spans="1:23" ht="21" customHeight="1" x14ac:dyDescent="0.2">
      <c r="A112" s="368" t="str">
        <f>DATA!B19</f>
        <v>ઉચ્ચતર પુરવાણી ૨</v>
      </c>
      <c r="B112" s="276"/>
      <c r="C112" s="47">
        <f t="shared" si="59"/>
        <v>0</v>
      </c>
      <c r="D112" s="48"/>
      <c r="E112" s="49"/>
      <c r="F112" s="330"/>
      <c r="G112" s="276"/>
      <c r="H112" s="46"/>
      <c r="I112" s="46"/>
      <c r="J112" s="330"/>
      <c r="K112" s="276"/>
      <c r="L112" s="330"/>
      <c r="M112" s="276"/>
      <c r="N112" s="330"/>
      <c r="O112" s="276"/>
      <c r="P112" s="330"/>
      <c r="Q112" s="276"/>
      <c r="R112" s="24"/>
      <c r="S112" s="24"/>
      <c r="T112" s="24"/>
      <c r="U112" s="24"/>
      <c r="V112" s="24"/>
      <c r="W112" s="24"/>
    </row>
    <row r="113" spans="1:23" ht="18.75" customHeight="1" x14ac:dyDescent="0.2">
      <c r="A113" s="368" t="str">
        <f>DATA!B20</f>
        <v xml:space="preserve">પગાર તફાવત </v>
      </c>
      <c r="B113" s="276"/>
      <c r="C113" s="47">
        <f t="shared" si="59"/>
        <v>0</v>
      </c>
      <c r="D113" s="48"/>
      <c r="E113" s="49"/>
      <c r="F113" s="330"/>
      <c r="G113" s="276"/>
      <c r="H113" s="46"/>
      <c r="I113" s="46"/>
      <c r="J113" s="330"/>
      <c r="K113" s="276"/>
      <c r="L113" s="330"/>
      <c r="M113" s="276"/>
      <c r="N113" s="330"/>
      <c r="O113" s="276"/>
      <c r="P113" s="330"/>
      <c r="Q113" s="276"/>
      <c r="R113" s="24"/>
      <c r="S113" s="24"/>
      <c r="T113" s="24"/>
      <c r="U113" s="24"/>
      <c r="V113" s="24"/>
      <c r="W113" s="24"/>
    </row>
    <row r="114" spans="1:23" ht="21" customHeight="1" x14ac:dyDescent="0.2">
      <c r="A114" s="368" t="str">
        <f>DATA!B21</f>
        <v>LTC બીલ</v>
      </c>
      <c r="B114" s="276"/>
      <c r="C114" s="47">
        <f t="shared" si="59"/>
        <v>0</v>
      </c>
      <c r="D114" s="48"/>
      <c r="E114" s="49"/>
      <c r="F114" s="330"/>
      <c r="G114" s="276"/>
      <c r="H114" s="46"/>
      <c r="I114" s="46"/>
      <c r="J114" s="330"/>
      <c r="K114" s="276"/>
      <c r="L114" s="330"/>
      <c r="M114" s="276"/>
      <c r="N114" s="330"/>
      <c r="O114" s="276"/>
      <c r="P114" s="330"/>
      <c r="Q114" s="276"/>
      <c r="R114" s="24"/>
      <c r="S114" s="24"/>
      <c r="T114" s="24"/>
      <c r="U114" s="24"/>
      <c r="V114" s="24"/>
      <c r="W114" s="24"/>
    </row>
    <row r="115" spans="1:23" ht="21" customHeight="1" x14ac:dyDescent="0.2">
      <c r="A115" s="368" t="str">
        <f>DATA!B22</f>
        <v>અન્ય પુરવણી બીલ</v>
      </c>
      <c r="B115" s="276"/>
      <c r="C115" s="47">
        <f t="shared" si="59"/>
        <v>0</v>
      </c>
      <c r="D115" s="48"/>
      <c r="E115" s="49"/>
      <c r="F115" s="330"/>
      <c r="G115" s="276"/>
      <c r="H115" s="46"/>
      <c r="I115" s="46"/>
      <c r="J115" s="330"/>
      <c r="K115" s="276"/>
      <c r="L115" s="330"/>
      <c r="M115" s="276"/>
      <c r="N115" s="330"/>
      <c r="O115" s="276"/>
      <c r="P115" s="330"/>
      <c r="Q115" s="276"/>
      <c r="R115" s="24"/>
      <c r="S115" s="24"/>
      <c r="T115" s="24"/>
      <c r="U115" s="24"/>
      <c r="V115" s="24"/>
      <c r="W115" s="24"/>
    </row>
    <row r="116" spans="1:23" ht="21" customHeight="1" x14ac:dyDescent="0.2">
      <c r="A116" s="368" t="str">
        <f>DATA!B24</f>
        <v>.</v>
      </c>
      <c r="B116" s="276"/>
      <c r="C116" s="47">
        <f t="shared" si="59"/>
        <v>0</v>
      </c>
      <c r="D116" s="48"/>
      <c r="E116" s="49"/>
      <c r="F116" s="27"/>
      <c r="G116" s="50"/>
      <c r="H116" s="51"/>
      <c r="I116" s="51"/>
      <c r="J116" s="330"/>
      <c r="K116" s="276"/>
      <c r="L116" s="330"/>
      <c r="M116" s="276"/>
      <c r="N116" s="330"/>
      <c r="O116" s="276"/>
      <c r="P116" s="330"/>
      <c r="Q116" s="276"/>
      <c r="R116" s="24"/>
      <c r="S116" s="24"/>
      <c r="T116" s="24"/>
      <c r="U116" s="24"/>
      <c r="V116" s="24"/>
      <c r="W116" s="24"/>
    </row>
    <row r="117" spans="1:23" ht="23.25" customHeight="1" x14ac:dyDescent="0.2">
      <c r="A117" s="316" t="s">
        <v>172</v>
      </c>
      <c r="B117" s="276"/>
      <c r="C117" s="52">
        <f>SUM(C96:C116)</f>
        <v>1237244</v>
      </c>
      <c r="D117" s="53">
        <f>SUM(D96:D115)</f>
        <v>0</v>
      </c>
      <c r="E117" s="52">
        <f t="shared" ref="E117:F117" si="60">SUM(E96:E116)</f>
        <v>240000</v>
      </c>
      <c r="F117" s="369">
        <f t="shared" si="60"/>
        <v>0</v>
      </c>
      <c r="G117" s="276"/>
      <c r="H117" s="54"/>
      <c r="I117" s="54"/>
      <c r="J117" s="319">
        <f>SUM(J96:J116)</f>
        <v>2400</v>
      </c>
      <c r="K117" s="276"/>
      <c r="L117" s="319">
        <f>SUM(L96:L116)</f>
        <v>9600</v>
      </c>
      <c r="M117" s="276"/>
      <c r="N117" s="319">
        <f>SUM(N96:N116)</f>
        <v>0</v>
      </c>
      <c r="O117" s="276"/>
      <c r="P117" s="319">
        <f>SUM(P96:P116)</f>
        <v>121070</v>
      </c>
      <c r="Q117" s="276"/>
      <c r="R117" s="24"/>
      <c r="S117" s="61"/>
      <c r="T117" s="24"/>
      <c r="U117" s="24"/>
      <c r="V117" s="24"/>
      <c r="W117" s="24"/>
    </row>
    <row r="118" spans="1:23" ht="20.25" customHeight="1" x14ac:dyDescent="0.2">
      <c r="A118" s="313" t="s">
        <v>236</v>
      </c>
      <c r="B118" s="275"/>
      <c r="C118" s="275"/>
      <c r="D118" s="275"/>
      <c r="E118" s="275"/>
      <c r="F118" s="275"/>
      <c r="G118" s="275"/>
      <c r="H118" s="275"/>
      <c r="I118" s="275"/>
      <c r="J118" s="275"/>
      <c r="K118" s="275"/>
      <c r="L118" s="275"/>
      <c r="M118" s="275"/>
      <c r="N118" s="275"/>
      <c r="O118" s="275"/>
      <c r="P118" s="275"/>
      <c r="Q118" s="276"/>
      <c r="R118" s="24"/>
      <c r="S118" s="24"/>
      <c r="T118" s="24"/>
      <c r="U118" s="24"/>
      <c r="V118" s="24"/>
      <c r="W118" s="24"/>
    </row>
    <row r="119" spans="1:23" ht="24.75" customHeight="1" x14ac:dyDescent="0.2">
      <c r="A119" s="369" t="s">
        <v>173</v>
      </c>
      <c r="B119" s="276"/>
      <c r="C119" s="369" t="s">
        <v>174</v>
      </c>
      <c r="D119" s="276"/>
      <c r="E119" s="55" t="s">
        <v>175</v>
      </c>
      <c r="F119" s="369" t="s">
        <v>176</v>
      </c>
      <c r="G119" s="276"/>
      <c r="H119" s="55"/>
      <c r="I119" s="55"/>
      <c r="J119" s="369" t="s">
        <v>177</v>
      </c>
      <c r="K119" s="275"/>
      <c r="L119" s="276"/>
      <c r="M119" s="369" t="s">
        <v>178</v>
      </c>
      <c r="N119" s="275"/>
      <c r="O119" s="275"/>
      <c r="P119" s="275"/>
      <c r="Q119" s="276"/>
      <c r="R119" s="24"/>
      <c r="S119" s="24"/>
      <c r="T119" s="24"/>
      <c r="U119" s="24"/>
      <c r="V119" s="24"/>
      <c r="W119" s="24"/>
    </row>
    <row r="120" spans="1:23" ht="18" customHeight="1" x14ac:dyDescent="0.2">
      <c r="A120" s="313">
        <v>1</v>
      </c>
      <c r="B120" s="276"/>
      <c r="C120" s="394" t="s">
        <v>34</v>
      </c>
      <c r="D120" s="276"/>
      <c r="E120" s="56" t="str">
        <f>DATA!E5&amp;"-"&amp;DATA!F5</f>
        <v>2025-2026</v>
      </c>
      <c r="F120" s="313">
        <f>M46</f>
        <v>0</v>
      </c>
      <c r="G120" s="276"/>
      <c r="H120" s="42"/>
      <c r="I120" s="42"/>
      <c r="J120" s="313"/>
      <c r="K120" s="275"/>
      <c r="L120" s="276"/>
      <c r="M120" s="313"/>
      <c r="N120" s="275"/>
      <c r="O120" s="275"/>
      <c r="P120" s="275"/>
      <c r="Q120" s="276"/>
      <c r="R120" s="24"/>
      <c r="S120" s="24"/>
      <c r="T120" s="24"/>
      <c r="U120" s="24"/>
      <c r="V120" s="24"/>
      <c r="W120" s="24"/>
    </row>
    <row r="121" spans="1:23" ht="18" customHeight="1" x14ac:dyDescent="0.2">
      <c r="A121" s="313">
        <v>2</v>
      </c>
      <c r="B121" s="276"/>
      <c r="C121" s="394" t="s">
        <v>124</v>
      </c>
      <c r="D121" s="276"/>
      <c r="E121" s="57" t="str">
        <f t="shared" ref="E121:E132" si="61">E120</f>
        <v>2025-2026</v>
      </c>
      <c r="F121" s="313">
        <f t="shared" ref="F121:F128" si="62">M52</f>
        <v>0</v>
      </c>
      <c r="G121" s="276"/>
      <c r="H121" s="42"/>
      <c r="I121" s="42"/>
      <c r="J121" s="313"/>
      <c r="K121" s="275"/>
      <c r="L121" s="276"/>
      <c r="M121" s="313"/>
      <c r="N121" s="275"/>
      <c r="O121" s="275"/>
      <c r="P121" s="275"/>
      <c r="Q121" s="276"/>
      <c r="R121" s="24"/>
      <c r="S121" s="24"/>
      <c r="T121" s="24"/>
      <c r="U121" s="24"/>
      <c r="V121" s="24"/>
      <c r="W121" s="24"/>
    </row>
    <row r="122" spans="1:23" ht="18" customHeight="1" x14ac:dyDescent="0.2">
      <c r="A122" s="313">
        <v>3</v>
      </c>
      <c r="B122" s="276"/>
      <c r="C122" s="394" t="s">
        <v>39</v>
      </c>
      <c r="D122" s="276"/>
      <c r="E122" s="57" t="str">
        <f t="shared" si="61"/>
        <v>2025-2026</v>
      </c>
      <c r="F122" s="313">
        <f t="shared" si="62"/>
        <v>9600</v>
      </c>
      <c r="G122" s="276"/>
      <c r="H122" s="42"/>
      <c r="I122" s="42"/>
      <c r="J122" s="313"/>
      <c r="K122" s="275"/>
      <c r="L122" s="276"/>
      <c r="M122" s="313"/>
      <c r="N122" s="275"/>
      <c r="O122" s="275"/>
      <c r="P122" s="275"/>
      <c r="Q122" s="276"/>
      <c r="R122" s="24"/>
      <c r="S122" s="24"/>
      <c r="T122" s="24"/>
      <c r="U122" s="24"/>
      <c r="V122" s="24"/>
      <c r="W122" s="24"/>
    </row>
    <row r="123" spans="1:23" ht="18" customHeight="1" x14ac:dyDescent="0.2">
      <c r="A123" s="313">
        <v>4</v>
      </c>
      <c r="B123" s="276"/>
      <c r="C123" s="394" t="s">
        <v>41</v>
      </c>
      <c r="D123" s="276"/>
      <c r="E123" s="57" t="str">
        <f t="shared" si="61"/>
        <v>2025-2026</v>
      </c>
      <c r="F123" s="313">
        <f t="shared" si="62"/>
        <v>0</v>
      </c>
      <c r="G123" s="276"/>
      <c r="H123" s="42"/>
      <c r="I123" s="42"/>
      <c r="J123" s="313"/>
      <c r="K123" s="275"/>
      <c r="L123" s="276"/>
      <c r="M123" s="313"/>
      <c r="N123" s="275"/>
      <c r="O123" s="275"/>
      <c r="P123" s="275"/>
      <c r="Q123" s="276"/>
      <c r="R123" s="24"/>
      <c r="S123" s="24"/>
      <c r="T123" s="24"/>
      <c r="U123" s="24"/>
      <c r="V123" s="24"/>
      <c r="W123" s="24"/>
    </row>
    <row r="124" spans="1:23" ht="18" customHeight="1" x14ac:dyDescent="0.2">
      <c r="A124" s="313">
        <v>5</v>
      </c>
      <c r="B124" s="276"/>
      <c r="C124" s="394" t="s">
        <v>49</v>
      </c>
      <c r="D124" s="276"/>
      <c r="E124" s="57" t="str">
        <f t="shared" si="61"/>
        <v>2025-2026</v>
      </c>
      <c r="F124" s="313">
        <f t="shared" si="62"/>
        <v>0</v>
      </c>
      <c r="G124" s="276"/>
      <c r="H124" s="42"/>
      <c r="I124" s="42"/>
      <c r="J124" s="313"/>
      <c r="K124" s="275"/>
      <c r="L124" s="276"/>
      <c r="M124" s="313"/>
      <c r="N124" s="275"/>
      <c r="O124" s="275"/>
      <c r="P124" s="275"/>
      <c r="Q124" s="276"/>
      <c r="R124" s="24"/>
      <c r="S124" s="24"/>
      <c r="T124" s="24"/>
      <c r="U124" s="24"/>
      <c r="V124" s="24"/>
      <c r="W124" s="24"/>
    </row>
    <row r="125" spans="1:23" ht="18" customHeight="1" x14ac:dyDescent="0.2">
      <c r="A125" s="313">
        <v>6</v>
      </c>
      <c r="B125" s="276"/>
      <c r="C125" s="394" t="s">
        <v>51</v>
      </c>
      <c r="D125" s="276"/>
      <c r="E125" s="57" t="str">
        <f t="shared" si="61"/>
        <v>2025-2026</v>
      </c>
      <c r="F125" s="313">
        <f t="shared" si="62"/>
        <v>0</v>
      </c>
      <c r="G125" s="276"/>
      <c r="H125" s="42"/>
      <c r="I125" s="42"/>
      <c r="J125" s="313"/>
      <c r="K125" s="275"/>
      <c r="L125" s="276"/>
      <c r="M125" s="313"/>
      <c r="N125" s="275"/>
      <c r="O125" s="275"/>
      <c r="P125" s="275"/>
      <c r="Q125" s="276"/>
      <c r="R125" s="24"/>
      <c r="S125" s="24"/>
      <c r="T125" s="24"/>
      <c r="U125" s="24"/>
      <c r="V125" s="24"/>
      <c r="W125" s="24"/>
    </row>
    <row r="126" spans="1:23" ht="18" customHeight="1" x14ac:dyDescent="0.2">
      <c r="A126" s="313">
        <v>7</v>
      </c>
      <c r="B126" s="276"/>
      <c r="C126" s="394" t="s">
        <v>54</v>
      </c>
      <c r="D126" s="276"/>
      <c r="E126" s="57" t="str">
        <f t="shared" si="61"/>
        <v>2025-2026</v>
      </c>
      <c r="F126" s="313">
        <f t="shared" si="62"/>
        <v>0</v>
      </c>
      <c r="G126" s="276"/>
      <c r="H126" s="42"/>
      <c r="I126" s="42"/>
      <c r="J126" s="313"/>
      <c r="K126" s="275"/>
      <c r="L126" s="276"/>
      <c r="M126" s="313"/>
      <c r="N126" s="275"/>
      <c r="O126" s="275"/>
      <c r="P126" s="275"/>
      <c r="Q126" s="276"/>
      <c r="R126" s="24"/>
      <c r="S126" s="24"/>
      <c r="T126" s="24"/>
      <c r="U126" s="24"/>
      <c r="V126" s="24"/>
      <c r="W126" s="24"/>
    </row>
    <row r="127" spans="1:23" ht="18" customHeight="1" x14ac:dyDescent="0.2">
      <c r="A127" s="313">
        <v>8</v>
      </c>
      <c r="B127" s="276"/>
      <c r="C127" s="394" t="s">
        <v>56</v>
      </c>
      <c r="D127" s="276"/>
      <c r="E127" s="57" t="str">
        <f t="shared" si="61"/>
        <v>2025-2026</v>
      </c>
      <c r="F127" s="313">
        <f t="shared" si="62"/>
        <v>0</v>
      </c>
      <c r="G127" s="276"/>
      <c r="H127" s="42"/>
      <c r="I127" s="42"/>
      <c r="J127" s="313"/>
      <c r="K127" s="275"/>
      <c r="L127" s="276"/>
      <c r="M127" s="313"/>
      <c r="N127" s="275"/>
      <c r="O127" s="275"/>
      <c r="P127" s="275"/>
      <c r="Q127" s="276"/>
      <c r="R127" s="24"/>
      <c r="S127" s="24"/>
      <c r="T127" s="24"/>
      <c r="U127" s="24"/>
      <c r="V127" s="24"/>
      <c r="W127" s="24"/>
    </row>
    <row r="128" spans="1:23" ht="18" customHeight="1" x14ac:dyDescent="0.2">
      <c r="A128" s="313">
        <v>9</v>
      </c>
      <c r="B128" s="276"/>
      <c r="C128" s="394" t="s">
        <v>58</v>
      </c>
      <c r="D128" s="276"/>
      <c r="E128" s="57" t="str">
        <f t="shared" si="61"/>
        <v>2025-2026</v>
      </c>
      <c r="F128" s="313">
        <f t="shared" si="62"/>
        <v>0</v>
      </c>
      <c r="G128" s="276"/>
      <c r="H128" s="42"/>
      <c r="I128" s="42"/>
      <c r="J128" s="313"/>
      <c r="K128" s="275"/>
      <c r="L128" s="276"/>
      <c r="M128" s="313"/>
      <c r="N128" s="275"/>
      <c r="O128" s="275"/>
      <c r="P128" s="275"/>
      <c r="Q128" s="276"/>
      <c r="R128" s="24"/>
      <c r="S128" s="24"/>
      <c r="T128" s="24"/>
      <c r="U128" s="24"/>
      <c r="V128" s="24"/>
      <c r="W128" s="24"/>
    </row>
    <row r="129" spans="1:23" ht="18" customHeight="1" x14ac:dyDescent="0.2">
      <c r="A129" s="313">
        <v>10</v>
      </c>
      <c r="B129" s="276"/>
      <c r="C129" s="394" t="s">
        <v>62</v>
      </c>
      <c r="D129" s="276"/>
      <c r="E129" s="57" t="str">
        <f t="shared" si="61"/>
        <v>2025-2026</v>
      </c>
      <c r="F129" s="313">
        <f>M61</f>
        <v>0</v>
      </c>
      <c r="G129" s="276"/>
      <c r="H129" s="42"/>
      <c r="I129" s="42"/>
      <c r="J129" s="313"/>
      <c r="K129" s="275"/>
      <c r="L129" s="276"/>
      <c r="M129" s="313"/>
      <c r="N129" s="275"/>
      <c r="O129" s="275"/>
      <c r="P129" s="275"/>
      <c r="Q129" s="276"/>
      <c r="R129" s="24"/>
      <c r="S129" s="24"/>
      <c r="T129" s="24"/>
      <c r="U129" s="24"/>
      <c r="V129" s="24"/>
      <c r="W129" s="24"/>
    </row>
    <row r="130" spans="1:23" ht="18" customHeight="1" x14ac:dyDescent="0.2">
      <c r="A130" s="313">
        <v>11</v>
      </c>
      <c r="B130" s="276"/>
      <c r="C130" s="394" t="s">
        <v>237</v>
      </c>
      <c r="D130" s="276"/>
      <c r="E130" s="57" t="str">
        <f t="shared" si="61"/>
        <v>2025-2026</v>
      </c>
      <c r="F130" s="313">
        <f>M60</f>
        <v>0</v>
      </c>
      <c r="G130" s="276"/>
      <c r="H130" s="42"/>
      <c r="I130" s="42"/>
      <c r="J130" s="313"/>
      <c r="K130" s="275"/>
      <c r="L130" s="276"/>
      <c r="M130" s="313"/>
      <c r="N130" s="275"/>
      <c r="O130" s="275"/>
      <c r="P130" s="275"/>
      <c r="Q130" s="276"/>
      <c r="R130" s="24"/>
      <c r="S130" s="24"/>
      <c r="T130" s="24"/>
      <c r="U130" s="24"/>
      <c r="V130" s="24"/>
      <c r="W130" s="24"/>
    </row>
    <row r="131" spans="1:23" ht="18" customHeight="1" x14ac:dyDescent="0.2">
      <c r="A131" s="313">
        <v>12</v>
      </c>
      <c r="B131" s="276"/>
      <c r="C131" s="394" t="s">
        <v>179</v>
      </c>
      <c r="D131" s="276"/>
      <c r="E131" s="57" t="str">
        <f t="shared" si="61"/>
        <v>2025-2026</v>
      </c>
      <c r="F131" s="313">
        <v>0</v>
      </c>
      <c r="G131" s="276"/>
      <c r="H131" s="42"/>
      <c r="I131" s="42"/>
      <c r="J131" s="313"/>
      <c r="K131" s="275"/>
      <c r="L131" s="276"/>
      <c r="M131" s="313"/>
      <c r="N131" s="275"/>
      <c r="O131" s="275"/>
      <c r="P131" s="275"/>
      <c r="Q131" s="276"/>
      <c r="R131" s="24"/>
      <c r="S131" s="24"/>
      <c r="T131" s="24"/>
      <c r="U131" s="24"/>
      <c r="V131" s="24"/>
      <c r="W131" s="24"/>
    </row>
    <row r="132" spans="1:23" ht="18" customHeight="1" x14ac:dyDescent="0.2">
      <c r="A132" s="313">
        <v>13</v>
      </c>
      <c r="B132" s="276"/>
      <c r="C132" s="394" t="s">
        <v>180</v>
      </c>
      <c r="D132" s="276"/>
      <c r="E132" s="57" t="str">
        <f t="shared" si="61"/>
        <v>2025-2026</v>
      </c>
      <c r="F132" s="313">
        <f>M66</f>
        <v>21802</v>
      </c>
      <c r="G132" s="276"/>
      <c r="H132" s="42"/>
      <c r="I132" s="42"/>
      <c r="J132" s="313"/>
      <c r="K132" s="275"/>
      <c r="L132" s="276"/>
      <c r="M132" s="313"/>
      <c r="N132" s="275"/>
      <c r="O132" s="275"/>
      <c r="P132" s="275"/>
      <c r="Q132" s="276"/>
      <c r="R132" s="24"/>
      <c r="S132" s="24"/>
      <c r="T132" s="24"/>
      <c r="U132" s="24"/>
      <c r="V132" s="24"/>
      <c r="W132" s="24"/>
    </row>
    <row r="133" spans="1:23" ht="3.75" customHeight="1" x14ac:dyDescent="0.2">
      <c r="A133" s="371"/>
      <c r="B133" s="362"/>
      <c r="C133" s="371"/>
      <c r="D133" s="362"/>
      <c r="E133" s="63"/>
      <c r="F133" s="371"/>
      <c r="G133" s="362"/>
      <c r="H133" s="62"/>
      <c r="I133" s="62"/>
      <c r="J133" s="371"/>
      <c r="K133" s="362"/>
      <c r="L133" s="362"/>
      <c r="M133" s="371"/>
      <c r="N133" s="362"/>
      <c r="O133" s="362"/>
      <c r="P133" s="362"/>
      <c r="Q133" s="362"/>
      <c r="R133" s="24"/>
      <c r="S133" s="24"/>
      <c r="T133" s="24"/>
      <c r="U133" s="24"/>
      <c r="V133" s="24"/>
      <c r="W133" s="24"/>
    </row>
    <row r="134" spans="1:23" ht="12" customHeight="1" x14ac:dyDescent="0.2">
      <c r="A134" s="388" t="s">
        <v>182</v>
      </c>
      <c r="B134" s="362"/>
      <c r="C134" s="362"/>
      <c r="D134" s="362"/>
      <c r="E134" s="362"/>
      <c r="F134" s="362"/>
      <c r="G134" s="362"/>
      <c r="H134" s="362"/>
      <c r="I134" s="362"/>
      <c r="J134" s="362"/>
      <c r="K134" s="362"/>
      <c r="L134" s="362"/>
      <c r="M134" s="362"/>
      <c r="N134" s="362"/>
      <c r="O134" s="362"/>
      <c r="P134" s="362"/>
      <c r="Q134" s="362"/>
      <c r="R134" s="24"/>
      <c r="S134" s="24"/>
      <c r="T134" s="24"/>
      <c r="U134" s="24"/>
      <c r="V134" s="24"/>
      <c r="W134" s="24"/>
    </row>
    <row r="135" spans="1:23" ht="1.5" customHeight="1" x14ac:dyDescent="0.2">
      <c r="A135" s="371"/>
      <c r="B135" s="362"/>
      <c r="C135" s="371"/>
      <c r="D135" s="362"/>
      <c r="E135" s="63"/>
      <c r="F135" s="371"/>
      <c r="G135" s="362"/>
      <c r="H135" s="62"/>
      <c r="I135" s="62"/>
      <c r="J135" s="371"/>
      <c r="K135" s="362"/>
      <c r="L135" s="362"/>
      <c r="M135" s="371"/>
      <c r="N135" s="362"/>
      <c r="O135" s="362"/>
      <c r="P135" s="362"/>
      <c r="Q135" s="362"/>
      <c r="R135" s="24"/>
      <c r="S135" s="24"/>
      <c r="T135" s="24"/>
      <c r="U135" s="24"/>
      <c r="V135" s="24"/>
      <c r="W135" s="24"/>
    </row>
    <row r="136" spans="1:23" ht="18.75" customHeight="1" x14ac:dyDescent="0.2">
      <c r="A136" s="389" t="s">
        <v>183</v>
      </c>
      <c r="B136" s="362"/>
      <c r="C136" s="64" t="str">
        <f>DATA!E7</f>
        <v xml:space="preserve">SANJAYKUMAR </v>
      </c>
      <c r="D136" s="64" t="str">
        <f>DATA!K7</f>
        <v xml:space="preserve">NATVARBHAI </v>
      </c>
      <c r="E136" s="65" t="str">
        <f>DATA!P7</f>
        <v>DATTANI</v>
      </c>
      <c r="F136" s="66" t="s">
        <v>184</v>
      </c>
      <c r="G136" s="374" t="str">
        <f>DATA!O10</f>
        <v xml:space="preserve">PRINCIPAL </v>
      </c>
      <c r="H136" s="362"/>
      <c r="I136" s="362"/>
      <c r="J136" s="362"/>
      <c r="K136" s="362"/>
      <c r="L136" s="423" t="str">
        <f>DATA!E6</f>
        <v xml:space="preserve">KADJODARA </v>
      </c>
      <c r="M136" s="362"/>
      <c r="N136" s="362"/>
      <c r="O136" s="374" t="s">
        <v>185</v>
      </c>
      <c r="P136" s="362"/>
      <c r="Q136" s="362"/>
      <c r="R136" s="24"/>
      <c r="S136" s="24"/>
      <c r="T136" s="24"/>
      <c r="U136" s="24"/>
      <c r="V136" s="24"/>
      <c r="W136" s="24"/>
    </row>
    <row r="137" spans="1:23" ht="45.75" customHeight="1" x14ac:dyDescent="0.2">
      <c r="A137" s="396" t="s">
        <v>238</v>
      </c>
      <c r="B137" s="362"/>
      <c r="C137" s="362"/>
      <c r="D137" s="362"/>
      <c r="E137" s="362"/>
      <c r="F137" s="362"/>
      <c r="G137" s="362"/>
      <c r="H137" s="362"/>
      <c r="I137" s="362"/>
      <c r="J137" s="362"/>
      <c r="K137" s="362"/>
      <c r="L137" s="362"/>
      <c r="M137" s="362"/>
      <c r="N137" s="362"/>
      <c r="O137" s="362"/>
      <c r="P137" s="362"/>
      <c r="Q137" s="362"/>
      <c r="R137" s="24"/>
      <c r="S137" s="24"/>
      <c r="T137" s="24"/>
      <c r="U137" s="24"/>
      <c r="V137" s="24"/>
      <c r="W137" s="24"/>
    </row>
    <row r="138" spans="1:23" ht="18.75" customHeight="1" x14ac:dyDescent="0.2">
      <c r="A138" s="374" t="s">
        <v>239</v>
      </c>
      <c r="B138" s="362"/>
      <c r="C138" s="375" t="str">
        <f>DATA!E6</f>
        <v xml:space="preserve">KADJODARA </v>
      </c>
      <c r="D138" s="362"/>
      <c r="E138" s="362"/>
      <c r="F138" s="362"/>
      <c r="G138" s="66"/>
      <c r="H138" s="66"/>
      <c r="I138" s="66"/>
      <c r="J138" s="66"/>
      <c r="K138" s="66"/>
      <c r="L138" s="374" t="s">
        <v>161</v>
      </c>
      <c r="M138" s="362"/>
      <c r="N138" s="362"/>
      <c r="O138" s="362"/>
      <c r="P138" s="362"/>
      <c r="Q138" s="66"/>
      <c r="R138" s="24"/>
      <c r="S138" s="24"/>
      <c r="T138" s="24"/>
      <c r="U138" s="24"/>
      <c r="V138" s="24"/>
      <c r="W138" s="24"/>
    </row>
    <row r="139" spans="1:23" ht="16.5" customHeight="1" x14ac:dyDescent="0.2">
      <c r="A139" s="374" t="s">
        <v>158</v>
      </c>
      <c r="B139" s="362"/>
      <c r="C139" s="378">
        <f ca="1">TODAY()</f>
        <v>46000</v>
      </c>
      <c r="D139" s="362"/>
      <c r="E139" s="39"/>
      <c r="F139" s="66"/>
      <c r="G139" s="66"/>
      <c r="H139" s="66"/>
      <c r="I139" s="66"/>
      <c r="J139" s="66"/>
      <c r="K139" s="66"/>
      <c r="L139" s="374" t="s">
        <v>240</v>
      </c>
      <c r="M139" s="362"/>
      <c r="N139" s="375"/>
      <c r="O139" s="362"/>
      <c r="P139" s="362"/>
      <c r="Q139" s="362"/>
      <c r="R139" s="24"/>
      <c r="S139" s="24"/>
      <c r="T139" s="24"/>
      <c r="U139" s="24"/>
      <c r="V139" s="24"/>
      <c r="W139" s="24"/>
    </row>
  </sheetData>
  <mergeCells count="487">
    <mergeCell ref="A33:A36"/>
    <mergeCell ref="C94:C95"/>
    <mergeCell ref="K3:K5"/>
    <mergeCell ref="M4:M5"/>
    <mergeCell ref="N4:N5"/>
    <mergeCell ref="S3:S5"/>
    <mergeCell ref="A94:B95"/>
    <mergeCell ref="F33:Q34"/>
    <mergeCell ref="O4:P5"/>
    <mergeCell ref="Q4:R5"/>
    <mergeCell ref="B3:J4"/>
    <mergeCell ref="B33:E36"/>
    <mergeCell ref="A90:Q90"/>
    <mergeCell ref="B91:E91"/>
    <mergeCell ref="M91:Q91"/>
    <mergeCell ref="B92:D92"/>
    <mergeCell ref="F92:K92"/>
    <mergeCell ref="M92:Q92"/>
    <mergeCell ref="A93:Q93"/>
    <mergeCell ref="D94:Q94"/>
    <mergeCell ref="F95:G95"/>
    <mergeCell ref="J95:K95"/>
    <mergeCell ref="L95:M95"/>
    <mergeCell ref="N95:O95"/>
    <mergeCell ref="A136:B136"/>
    <mergeCell ref="G136:K136"/>
    <mergeCell ref="L136:N136"/>
    <mergeCell ref="O136:Q136"/>
    <mergeCell ref="A137:Q137"/>
    <mergeCell ref="A138:B138"/>
    <mergeCell ref="C138:F138"/>
    <mergeCell ref="L138:P138"/>
    <mergeCell ref="A139:B139"/>
    <mergeCell ref="C139:D139"/>
    <mergeCell ref="L139:M139"/>
    <mergeCell ref="N139:Q139"/>
    <mergeCell ref="A133:B133"/>
    <mergeCell ref="C133:D133"/>
    <mergeCell ref="F133:G133"/>
    <mergeCell ref="J133:L133"/>
    <mergeCell ref="M133:Q133"/>
    <mergeCell ref="A134:Q134"/>
    <mergeCell ref="A135:B135"/>
    <mergeCell ref="C135:D135"/>
    <mergeCell ref="F135:G135"/>
    <mergeCell ref="J135:L135"/>
    <mergeCell ref="M135:Q135"/>
    <mergeCell ref="A131:B131"/>
    <mergeCell ref="C131:D131"/>
    <mergeCell ref="F131:G131"/>
    <mergeCell ref="J131:L131"/>
    <mergeCell ref="M131:Q131"/>
    <mergeCell ref="A132:B132"/>
    <mergeCell ref="C132:D132"/>
    <mergeCell ref="F132:G132"/>
    <mergeCell ref="J132:L132"/>
    <mergeCell ref="M132:Q132"/>
    <mergeCell ref="A129:B129"/>
    <mergeCell ref="C129:D129"/>
    <mergeCell ref="F129:G129"/>
    <mergeCell ref="J129:L129"/>
    <mergeCell ref="M129:Q129"/>
    <mergeCell ref="A130:B130"/>
    <mergeCell ref="C130:D130"/>
    <mergeCell ref="F130:G130"/>
    <mergeCell ref="J130:L130"/>
    <mergeCell ref="M130:Q130"/>
    <mergeCell ref="A127:B127"/>
    <mergeCell ref="C127:D127"/>
    <mergeCell ref="F127:G127"/>
    <mergeCell ref="J127:L127"/>
    <mergeCell ref="M127:Q127"/>
    <mergeCell ref="A128:B128"/>
    <mergeCell ref="C128:D128"/>
    <mergeCell ref="F128:G128"/>
    <mergeCell ref="J128:L128"/>
    <mergeCell ref="M128:Q128"/>
    <mergeCell ref="A125:B125"/>
    <mergeCell ref="C125:D125"/>
    <mergeCell ref="F125:G125"/>
    <mergeCell ref="J125:L125"/>
    <mergeCell ref="M125:Q125"/>
    <mergeCell ref="A126:B126"/>
    <mergeCell ref="C126:D126"/>
    <mergeCell ref="F126:G126"/>
    <mergeCell ref="J126:L126"/>
    <mergeCell ref="M126:Q126"/>
    <mergeCell ref="A123:B123"/>
    <mergeCell ref="C123:D123"/>
    <mergeCell ref="F123:G123"/>
    <mergeCell ref="J123:L123"/>
    <mergeCell ref="M123:Q123"/>
    <mergeCell ref="A124:B124"/>
    <mergeCell ref="C124:D124"/>
    <mergeCell ref="F124:G124"/>
    <mergeCell ref="J124:L124"/>
    <mergeCell ref="M124:Q124"/>
    <mergeCell ref="A121:B121"/>
    <mergeCell ref="C121:D121"/>
    <mergeCell ref="F121:G121"/>
    <mergeCell ref="J121:L121"/>
    <mergeCell ref="M121:Q121"/>
    <mergeCell ref="A122:B122"/>
    <mergeCell ref="C122:D122"/>
    <mergeCell ref="F122:G122"/>
    <mergeCell ref="J122:L122"/>
    <mergeCell ref="M122:Q122"/>
    <mergeCell ref="A118:Q118"/>
    <mergeCell ref="A119:B119"/>
    <mergeCell ref="C119:D119"/>
    <mergeCell ref="F119:G119"/>
    <mergeCell ref="J119:L119"/>
    <mergeCell ref="M119:Q119"/>
    <mergeCell ref="A120:B120"/>
    <mergeCell ref="C120:D120"/>
    <mergeCell ref="F120:G120"/>
    <mergeCell ref="J120:L120"/>
    <mergeCell ref="M120:Q120"/>
    <mergeCell ref="A116:B116"/>
    <mergeCell ref="J116:K116"/>
    <mergeCell ref="L116:M116"/>
    <mergeCell ref="N116:O116"/>
    <mergeCell ref="P116:Q116"/>
    <mergeCell ref="A117:B117"/>
    <mergeCell ref="F117:G117"/>
    <mergeCell ref="J117:K117"/>
    <mergeCell ref="L117:M117"/>
    <mergeCell ref="N117:O117"/>
    <mergeCell ref="P117:Q117"/>
    <mergeCell ref="A114:B114"/>
    <mergeCell ref="F114:G114"/>
    <mergeCell ref="J114:K114"/>
    <mergeCell ref="L114:M114"/>
    <mergeCell ref="N114:O114"/>
    <mergeCell ref="P114:Q114"/>
    <mergeCell ref="A115:B115"/>
    <mergeCell ref="F115:G115"/>
    <mergeCell ref="J115:K115"/>
    <mergeCell ref="L115:M115"/>
    <mergeCell ref="N115:O115"/>
    <mergeCell ref="P115:Q115"/>
    <mergeCell ref="A112:B112"/>
    <mergeCell ref="F112:G112"/>
    <mergeCell ref="J112:K112"/>
    <mergeCell ref="L112:M112"/>
    <mergeCell ref="N112:O112"/>
    <mergeCell ref="P112:Q112"/>
    <mergeCell ref="A113:B113"/>
    <mergeCell ref="F113:G113"/>
    <mergeCell ref="J113:K113"/>
    <mergeCell ref="L113:M113"/>
    <mergeCell ref="N113:O113"/>
    <mergeCell ref="P113:Q113"/>
    <mergeCell ref="A110:B110"/>
    <mergeCell ref="F110:G110"/>
    <mergeCell ref="J110:K110"/>
    <mergeCell ref="L110:M110"/>
    <mergeCell ref="N110:O110"/>
    <mergeCell ref="P110:Q110"/>
    <mergeCell ref="A111:B111"/>
    <mergeCell ref="F111:G111"/>
    <mergeCell ref="J111:K111"/>
    <mergeCell ref="L111:M111"/>
    <mergeCell ref="N111:O111"/>
    <mergeCell ref="P111:Q111"/>
    <mergeCell ref="A108:B108"/>
    <mergeCell ref="F108:G108"/>
    <mergeCell ref="J108:K108"/>
    <mergeCell ref="L108:M108"/>
    <mergeCell ref="N108:O108"/>
    <mergeCell ref="P108:Q108"/>
    <mergeCell ref="A109:B109"/>
    <mergeCell ref="F109:G109"/>
    <mergeCell ref="J109:K109"/>
    <mergeCell ref="L109:M109"/>
    <mergeCell ref="N109:O109"/>
    <mergeCell ref="P109:Q109"/>
    <mergeCell ref="A106:B106"/>
    <mergeCell ref="F106:G106"/>
    <mergeCell ref="J106:K106"/>
    <mergeCell ref="L106:M106"/>
    <mergeCell ref="N106:O106"/>
    <mergeCell ref="P106:Q106"/>
    <mergeCell ref="A107:B107"/>
    <mergeCell ref="F107:G107"/>
    <mergeCell ref="J107:K107"/>
    <mergeCell ref="L107:M107"/>
    <mergeCell ref="N107:O107"/>
    <mergeCell ref="P107:Q107"/>
    <mergeCell ref="A104:B104"/>
    <mergeCell ref="F104:G104"/>
    <mergeCell ref="J104:K104"/>
    <mergeCell ref="L104:M104"/>
    <mergeCell ref="N104:O104"/>
    <mergeCell ref="P104:Q104"/>
    <mergeCell ref="A105:B105"/>
    <mergeCell ref="F105:G105"/>
    <mergeCell ref="J105:K105"/>
    <mergeCell ref="L105:M105"/>
    <mergeCell ref="N105:O105"/>
    <mergeCell ref="P105:Q105"/>
    <mergeCell ref="A102:B102"/>
    <mergeCell ref="F102:G102"/>
    <mergeCell ref="J102:K102"/>
    <mergeCell ref="L102:M102"/>
    <mergeCell ref="N102:O102"/>
    <mergeCell ref="P102:Q102"/>
    <mergeCell ref="A103:B103"/>
    <mergeCell ref="F103:G103"/>
    <mergeCell ref="J103:K103"/>
    <mergeCell ref="L103:M103"/>
    <mergeCell ref="N103:O103"/>
    <mergeCell ref="P103:Q103"/>
    <mergeCell ref="A100:B100"/>
    <mergeCell ref="F100:G100"/>
    <mergeCell ref="J100:K100"/>
    <mergeCell ref="L100:M100"/>
    <mergeCell ref="N100:O100"/>
    <mergeCell ref="P100:Q100"/>
    <mergeCell ref="A101:B101"/>
    <mergeCell ref="F101:G101"/>
    <mergeCell ref="J101:K101"/>
    <mergeCell ref="L101:M101"/>
    <mergeCell ref="N101:O101"/>
    <mergeCell ref="P101:Q101"/>
    <mergeCell ref="A98:B98"/>
    <mergeCell ref="F98:G98"/>
    <mergeCell ref="J98:K98"/>
    <mergeCell ref="L98:M98"/>
    <mergeCell ref="N98:O98"/>
    <mergeCell ref="P98:Q98"/>
    <mergeCell ref="A99:B99"/>
    <mergeCell ref="F99:G99"/>
    <mergeCell ref="J99:K99"/>
    <mergeCell ref="L99:M99"/>
    <mergeCell ref="N99:O99"/>
    <mergeCell ref="P99:Q99"/>
    <mergeCell ref="A96:B96"/>
    <mergeCell ref="F96:G96"/>
    <mergeCell ref="J96:K96"/>
    <mergeCell ref="L96:M96"/>
    <mergeCell ref="N96:O96"/>
    <mergeCell ref="P96:Q96"/>
    <mergeCell ref="A97:B97"/>
    <mergeCell ref="F97:G97"/>
    <mergeCell ref="J97:K97"/>
    <mergeCell ref="L97:M97"/>
    <mergeCell ref="N97:O97"/>
    <mergeCell ref="P97:Q97"/>
    <mergeCell ref="P95:Q95"/>
    <mergeCell ref="B87:L87"/>
    <mergeCell ref="M87:N87"/>
    <mergeCell ref="O87:Q87"/>
    <mergeCell ref="B88:L88"/>
    <mergeCell ref="M88:N88"/>
    <mergeCell ref="O88:Q88"/>
    <mergeCell ref="B89:L89"/>
    <mergeCell ref="M89:N89"/>
    <mergeCell ref="O89:Q89"/>
    <mergeCell ref="B84:E84"/>
    <mergeCell ref="F84:K84"/>
    <mergeCell ref="M84:N84"/>
    <mergeCell ref="O84:Q84"/>
    <mergeCell ref="B85:L85"/>
    <mergeCell ref="M85:N85"/>
    <mergeCell ref="O85:Q85"/>
    <mergeCell ref="B86:L86"/>
    <mergeCell ref="M86:N86"/>
    <mergeCell ref="O86:Q86"/>
    <mergeCell ref="B81:L81"/>
    <mergeCell ref="M81:N81"/>
    <mergeCell ref="O81:Q81"/>
    <mergeCell ref="B82:L82"/>
    <mergeCell ref="M82:N82"/>
    <mergeCell ref="O82:Q82"/>
    <mergeCell ref="B83:L83"/>
    <mergeCell ref="M83:N83"/>
    <mergeCell ref="O83:Q83"/>
    <mergeCell ref="B78:L78"/>
    <mergeCell ref="M78:N78"/>
    <mergeCell ref="O78:Q78"/>
    <mergeCell ref="B79:L79"/>
    <mergeCell ref="M79:N79"/>
    <mergeCell ref="O79:Q79"/>
    <mergeCell ref="B80:L80"/>
    <mergeCell ref="M80:N80"/>
    <mergeCell ref="O80:Q80"/>
    <mergeCell ref="C75:L75"/>
    <mergeCell ref="M75:N75"/>
    <mergeCell ref="O75:Q75"/>
    <mergeCell ref="C76:L76"/>
    <mergeCell ref="M76:N76"/>
    <mergeCell ref="O76:Q76"/>
    <mergeCell ref="C77:L77"/>
    <mergeCell ref="M77:N77"/>
    <mergeCell ref="O77:Q77"/>
    <mergeCell ref="C71:L71"/>
    <mergeCell ref="M71:N71"/>
    <mergeCell ref="B72:L72"/>
    <mergeCell ref="M72:N72"/>
    <mergeCell ref="O72:Q72"/>
    <mergeCell ref="B73:L73"/>
    <mergeCell ref="M73:N73"/>
    <mergeCell ref="O73:Q73"/>
    <mergeCell ref="B74:L74"/>
    <mergeCell ref="M74:N74"/>
    <mergeCell ref="O74:Q74"/>
    <mergeCell ref="C68:L68"/>
    <mergeCell ref="M68:N68"/>
    <mergeCell ref="O68:Q68"/>
    <mergeCell ref="C69:L69"/>
    <mergeCell ref="M69:N69"/>
    <mergeCell ref="O69:Q69"/>
    <mergeCell ref="C70:L70"/>
    <mergeCell ref="M70:N70"/>
    <mergeCell ref="O70:Q70"/>
    <mergeCell ref="B65:L65"/>
    <mergeCell ref="M65:N65"/>
    <mergeCell ref="O65:Q65"/>
    <mergeCell ref="C66:L66"/>
    <mergeCell ref="M66:N66"/>
    <mergeCell ref="O66:Q66"/>
    <mergeCell ref="C67:L67"/>
    <mergeCell ref="M67:N67"/>
    <mergeCell ref="O67:Q67"/>
    <mergeCell ref="C62:J62"/>
    <mergeCell ref="M62:N62"/>
    <mergeCell ref="O62:Q62"/>
    <mergeCell ref="C63:J63"/>
    <mergeCell ref="M63:N63"/>
    <mergeCell ref="O63:Q63"/>
    <mergeCell ref="C64:J64"/>
    <mergeCell ref="M64:N64"/>
    <mergeCell ref="O64:Q64"/>
    <mergeCell ref="C59:J59"/>
    <mergeCell ref="M59:N59"/>
    <mergeCell ref="O59:Q59"/>
    <mergeCell ref="C60:J60"/>
    <mergeCell ref="M60:N60"/>
    <mergeCell ref="O60:Q60"/>
    <mergeCell ref="C61:J61"/>
    <mergeCell ref="M61:N61"/>
    <mergeCell ref="O61:Q61"/>
    <mergeCell ref="C56:J56"/>
    <mergeCell ref="M56:N56"/>
    <mergeCell ref="O56:Q56"/>
    <mergeCell ref="C57:J57"/>
    <mergeCell ref="M57:N57"/>
    <mergeCell ref="O57:Q57"/>
    <mergeCell ref="C58:J58"/>
    <mergeCell ref="M58:N58"/>
    <mergeCell ref="O58:Q58"/>
    <mergeCell ref="C53:J53"/>
    <mergeCell ref="M53:N53"/>
    <mergeCell ref="O53:Q53"/>
    <mergeCell ref="C54:J54"/>
    <mergeCell ref="M54:N54"/>
    <mergeCell ref="O54:Q54"/>
    <mergeCell ref="C55:J55"/>
    <mergeCell ref="M55:N55"/>
    <mergeCell ref="O55:Q55"/>
    <mergeCell ref="B50:L50"/>
    <mergeCell ref="M50:N50"/>
    <mergeCell ref="O50:Q50"/>
    <mergeCell ref="C51:L51"/>
    <mergeCell ref="M51:N51"/>
    <mergeCell ref="O51:Q51"/>
    <mergeCell ref="C52:J52"/>
    <mergeCell ref="M52:N52"/>
    <mergeCell ref="O52:Q52"/>
    <mergeCell ref="C47:K47"/>
    <mergeCell ref="M47:N47"/>
    <mergeCell ref="O47:Q47"/>
    <mergeCell ref="B48:L48"/>
    <mergeCell ref="M48:N48"/>
    <mergeCell ref="O48:Q48"/>
    <mergeCell ref="B49:L49"/>
    <mergeCell ref="M49:N49"/>
    <mergeCell ref="O49:Q49"/>
    <mergeCell ref="C44:L44"/>
    <mergeCell ref="M44:N44"/>
    <mergeCell ref="O44:Q44"/>
    <mergeCell ref="C45:L45"/>
    <mergeCell ref="M45:N45"/>
    <mergeCell ref="O45:Q45"/>
    <mergeCell ref="C46:L46"/>
    <mergeCell ref="M46:N46"/>
    <mergeCell ref="O46:Q46"/>
    <mergeCell ref="B40:E40"/>
    <mergeCell ref="F40:J40"/>
    <mergeCell ref="B41:L41"/>
    <mergeCell ref="M41:Q41"/>
    <mergeCell ref="B42:L42"/>
    <mergeCell ref="M42:N42"/>
    <mergeCell ref="O42:Q42"/>
    <mergeCell ref="B43:L43"/>
    <mergeCell ref="M43:N43"/>
    <mergeCell ref="O43:Q43"/>
    <mergeCell ref="F36:K36"/>
    <mergeCell ref="L36:Q36"/>
    <mergeCell ref="B37:C37"/>
    <mergeCell ref="D37:E37"/>
    <mergeCell ref="F37:L37"/>
    <mergeCell ref="M37:Q37"/>
    <mergeCell ref="B38:E38"/>
    <mergeCell ref="F38:Q38"/>
    <mergeCell ref="B39:E39"/>
    <mergeCell ref="F39:Q39"/>
    <mergeCell ref="B31:E31"/>
    <mergeCell ref="F31:J31"/>
    <mergeCell ref="K31:M31"/>
    <mergeCell ref="N31:Q31"/>
    <mergeCell ref="B32:E32"/>
    <mergeCell ref="F32:J32"/>
    <mergeCell ref="K32:N32"/>
    <mergeCell ref="O32:Q32"/>
    <mergeCell ref="F35:K35"/>
    <mergeCell ref="L35:Q35"/>
    <mergeCell ref="A27:C27"/>
    <mergeCell ref="D27:E27"/>
    <mergeCell ref="A29:B29"/>
    <mergeCell ref="C29:E29"/>
    <mergeCell ref="F29:N29"/>
    <mergeCell ref="O29:Q29"/>
    <mergeCell ref="A30:B30"/>
    <mergeCell ref="C30:E30"/>
    <mergeCell ref="J30:M30"/>
    <mergeCell ref="N30:Q30"/>
    <mergeCell ref="A22:C22"/>
    <mergeCell ref="D22:E22"/>
    <mergeCell ref="A23:C23"/>
    <mergeCell ref="D23:E23"/>
    <mergeCell ref="A24:C24"/>
    <mergeCell ref="D24:E24"/>
    <mergeCell ref="A25:C25"/>
    <mergeCell ref="D25:E25"/>
    <mergeCell ref="A26:C26"/>
    <mergeCell ref="D26:E26"/>
    <mergeCell ref="O18:P18"/>
    <mergeCell ref="Q18:R18"/>
    <mergeCell ref="T18:U18"/>
    <mergeCell ref="A19:C19"/>
    <mergeCell ref="D19:E19"/>
    <mergeCell ref="A20:C20"/>
    <mergeCell ref="D20:E20"/>
    <mergeCell ref="A21:C21"/>
    <mergeCell ref="D21:E21"/>
    <mergeCell ref="O15:P15"/>
    <mergeCell ref="Q15:R15"/>
    <mergeCell ref="T15:U15"/>
    <mergeCell ref="O16:P16"/>
    <mergeCell ref="Q16:R16"/>
    <mergeCell ref="T16:U16"/>
    <mergeCell ref="O17:P17"/>
    <mergeCell ref="Q17:R17"/>
    <mergeCell ref="T17:U17"/>
    <mergeCell ref="O12:P12"/>
    <mergeCell ref="Q12:R12"/>
    <mergeCell ref="T12:U12"/>
    <mergeCell ref="O13:P13"/>
    <mergeCell ref="Q13:R13"/>
    <mergeCell ref="T13:U13"/>
    <mergeCell ref="O14:P14"/>
    <mergeCell ref="Q14:R14"/>
    <mergeCell ref="T14:U14"/>
    <mergeCell ref="O9:P9"/>
    <mergeCell ref="Q9:R9"/>
    <mergeCell ref="T9:U9"/>
    <mergeCell ref="O10:P10"/>
    <mergeCell ref="Q10:R10"/>
    <mergeCell ref="T10:U10"/>
    <mergeCell ref="O11:P11"/>
    <mergeCell ref="Q11:R11"/>
    <mergeCell ref="T11:U11"/>
    <mergeCell ref="A1:U1"/>
    <mergeCell ref="L3:R3"/>
    <mergeCell ref="O6:P6"/>
    <mergeCell ref="Q6:R6"/>
    <mergeCell ref="T6:U6"/>
    <mergeCell ref="O7:P7"/>
    <mergeCell ref="Q7:R7"/>
    <mergeCell ref="T7:U7"/>
    <mergeCell ref="O8:P8"/>
    <mergeCell ref="Q8:R8"/>
    <mergeCell ref="T8:U8"/>
    <mergeCell ref="A3:A5"/>
    <mergeCell ref="T3:U5"/>
  </mergeCells>
  <dataValidations count="1">
    <dataValidation type="list" allowBlank="1" showErrorMessage="1" sqref="F40" xr:uid="{00000000-0002-0000-0500-000000000000}">
      <formula1>"MALE,FEMALE"</formula1>
    </dataValidation>
  </dataValidations>
  <printOptions horizontalCentered="1"/>
  <pageMargins left="0.23622047244094499" right="0.23622047244094499" top="0.74803149606299202" bottom="0.74803149606299202" header="0" footer="0"/>
  <pageSetup paperSize="9" orientation="portrait"/>
  <rowBreaks count="1" manualBreakCount="1">
    <brk id="9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www.w3.org/2000/xmlns/"/>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DATA</vt:lpstr>
      <vt:lpstr>PAGAR</vt:lpstr>
      <vt:lpstr>NEW REGIME</vt:lpstr>
      <vt:lpstr>OLD REGIME</vt:lpstr>
      <vt:lpstr>મેન્યુઅલી NEW</vt:lpstr>
      <vt:lpstr>મેન્યુઅલી OLD </vt:lpstr>
      <vt:lpstr>મેન્યુઅલી NEW!Print_Area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Bapupura</dc:creator>
  <cp:lastModifiedBy>Administrator</cp:lastModifiedBy>
  <cp:lastPrinted>2025-11-18T10:07:09Z</cp:lastPrinted>
  <dcterms:created xsi:type="dcterms:W3CDTF">1996-10-14T23:33:00Z</dcterms:created>
  <dcterms:modified xsi:type="dcterms:W3CDTF">2025-12-03T11:52:07Z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08329F2CC8AA4B328F588A611942790C_12</vt:lpwstr>
  </property>
  <property fmtid="{D5CDD505-2E9C-101B-9397-08002B2CF9AE}" pid="3" name="KSOProductBuildVer">
    <vt:lpwstr>1033-12.2.0.18911</vt:lpwstr>
  </property>
</Properties>
</file>